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3 1°TRIM ENE-MAR\VII. Ley de Ingresos y Ppto de Egresos\"/>
    </mc:Choice>
  </mc:AlternateContent>
  <xr:revisionPtr revIDLastSave="0" documentId="13_ncr:1_{C7E4DC66-8BA1-4318-B8D5-E4E89F619C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calcPr calcId="191029"/>
</workbook>
</file>

<file path=xl/calcChain.xml><?xml version="1.0" encoding="utf-8"?>
<calcChain xmlns="http://schemas.openxmlformats.org/spreadsheetml/2006/main">
  <c r="P72" i="3" l="1"/>
  <c r="P71" i="3" s="1"/>
  <c r="P70" i="3" s="1"/>
  <c r="L72" i="3"/>
  <c r="K72" i="3"/>
  <c r="K71" i="3" s="1"/>
  <c r="K70" i="3" s="1"/>
  <c r="J72" i="3"/>
  <c r="I72" i="3"/>
  <c r="I71" i="3" s="1"/>
  <c r="I70" i="3" s="1"/>
  <c r="T71" i="3"/>
  <c r="T70" i="3" s="1"/>
  <c r="S72" i="3"/>
  <c r="S71" i="3" s="1"/>
  <c r="S70" i="3" s="1"/>
  <c r="R72" i="3"/>
  <c r="Q72" i="3"/>
  <c r="Q71" i="3" s="1"/>
  <c r="Q70" i="3" s="1"/>
  <c r="O72" i="3"/>
  <c r="O71" i="3" s="1"/>
  <c r="O70" i="3" s="1"/>
  <c r="N72" i="3"/>
  <c r="N71" i="3" s="1"/>
  <c r="N70" i="3" s="1"/>
  <c r="M72" i="3"/>
  <c r="M71" i="3" s="1"/>
  <c r="M70" i="3" s="1"/>
  <c r="L71" i="3"/>
  <c r="L70" i="3" s="1"/>
  <c r="H42" i="3"/>
  <c r="H76" i="3"/>
  <c r="E76" i="3" s="1"/>
  <c r="T19" i="3"/>
  <c r="T18" i="3" s="1"/>
  <c r="S19" i="3"/>
  <c r="R19" i="3"/>
  <c r="R18" i="3" s="1"/>
  <c r="Q19" i="3"/>
  <c r="Q18" i="3" s="1"/>
  <c r="P19" i="3"/>
  <c r="P18" i="3" s="1"/>
  <c r="O19" i="3"/>
  <c r="N19" i="3"/>
  <c r="N18" i="3" s="1"/>
  <c r="M19" i="3"/>
  <c r="M18" i="3" s="1"/>
  <c r="L19" i="3"/>
  <c r="L18" i="3" s="1"/>
  <c r="K19" i="3"/>
  <c r="K18" i="3" s="1"/>
  <c r="J19" i="3"/>
  <c r="I19" i="3"/>
  <c r="T16" i="3"/>
  <c r="T15" i="3" s="1"/>
  <c r="S16" i="3"/>
  <c r="S15" i="3" s="1"/>
  <c r="R16" i="3"/>
  <c r="Q16" i="3"/>
  <c r="P16" i="3"/>
  <c r="O16" i="3"/>
  <c r="N16" i="3"/>
  <c r="M16" i="3"/>
  <c r="L16" i="3"/>
  <c r="K16" i="3"/>
  <c r="J16" i="3"/>
  <c r="I16" i="3"/>
  <c r="H107" i="3"/>
  <c r="E107" i="3" s="1"/>
  <c r="I77" i="3"/>
  <c r="J77" i="3"/>
  <c r="J74" i="3" s="1"/>
  <c r="K77" i="3"/>
  <c r="L77" i="3"/>
  <c r="L74" i="3" s="1"/>
  <c r="M77" i="3"/>
  <c r="N77" i="3"/>
  <c r="O77" i="3"/>
  <c r="O74" i="3" s="1"/>
  <c r="P77" i="3"/>
  <c r="Q77" i="3"/>
  <c r="R77" i="3"/>
  <c r="R74" i="3" s="1"/>
  <c r="S77" i="3"/>
  <c r="T77" i="3"/>
  <c r="T74" i="3" s="1"/>
  <c r="H14" i="3"/>
  <c r="E14" i="3" s="1"/>
  <c r="E13" i="3"/>
  <c r="E21" i="3"/>
  <c r="E22" i="3"/>
  <c r="E32" i="3"/>
  <c r="E35" i="3"/>
  <c r="E38" i="3"/>
  <c r="E46" i="3"/>
  <c r="E57" i="3"/>
  <c r="E69" i="3"/>
  <c r="E73" i="3"/>
  <c r="E82" i="3"/>
  <c r="E87" i="3"/>
  <c r="E90" i="3"/>
  <c r="E93" i="3"/>
  <c r="E113" i="3"/>
  <c r="E118" i="3"/>
  <c r="E122" i="3"/>
  <c r="E124" i="3"/>
  <c r="E126" i="3"/>
  <c r="E127" i="3"/>
  <c r="E129" i="3"/>
  <c r="E132" i="3"/>
  <c r="S11" i="3"/>
  <c r="H130" i="3"/>
  <c r="E130" i="3" s="1"/>
  <c r="H129" i="3"/>
  <c r="H132" i="3"/>
  <c r="H131" i="3" s="1"/>
  <c r="H127" i="3"/>
  <c r="H126" i="3"/>
  <c r="H125" i="3"/>
  <c r="E125" i="3" s="1"/>
  <c r="H124" i="3"/>
  <c r="H122" i="3"/>
  <c r="H121" i="3"/>
  <c r="H120" i="3" s="1"/>
  <c r="H118" i="3"/>
  <c r="H117" i="3"/>
  <c r="E117" i="3" s="1"/>
  <c r="H116" i="3"/>
  <c r="E116" i="3" s="1"/>
  <c r="H115" i="3"/>
  <c r="E115" i="3" s="1"/>
  <c r="H114" i="3"/>
  <c r="E114" i="3" s="1"/>
  <c r="H113" i="3"/>
  <c r="H111" i="3"/>
  <c r="E111" i="3" s="1"/>
  <c r="H110" i="3"/>
  <c r="E110" i="3" s="1"/>
  <c r="H108" i="3"/>
  <c r="E108" i="3" s="1"/>
  <c r="H99" i="3"/>
  <c r="E99" i="3" s="1"/>
  <c r="H100" i="3"/>
  <c r="E100" i="3" s="1"/>
  <c r="H101" i="3"/>
  <c r="E101" i="3" s="1"/>
  <c r="H102" i="3"/>
  <c r="E102" i="3" s="1"/>
  <c r="H103" i="3"/>
  <c r="E103" i="3" s="1"/>
  <c r="H104" i="3"/>
  <c r="E104" i="3" s="1"/>
  <c r="H105" i="3"/>
  <c r="E105" i="3" s="1"/>
  <c r="H98" i="3"/>
  <c r="E98" i="3" s="1"/>
  <c r="H85" i="3"/>
  <c r="E85" i="3" s="1"/>
  <c r="H88" i="3"/>
  <c r="E88" i="3" s="1"/>
  <c r="H89" i="3"/>
  <c r="H86" i="3" s="1"/>
  <c r="H90" i="3"/>
  <c r="H91" i="3"/>
  <c r="E91" i="3" s="1"/>
  <c r="H92" i="3"/>
  <c r="E92" i="3" s="1"/>
  <c r="H93" i="3"/>
  <c r="H94" i="3"/>
  <c r="E94" i="3" s="1"/>
  <c r="H95" i="3"/>
  <c r="E95" i="3" s="1"/>
  <c r="H87" i="3"/>
  <c r="H81" i="3"/>
  <c r="E81" i="3" s="1"/>
  <c r="H82" i="3"/>
  <c r="H83" i="3"/>
  <c r="E83" i="3" s="1"/>
  <c r="H84" i="3"/>
  <c r="E84" i="3" s="1"/>
  <c r="H80" i="3"/>
  <c r="E80" i="3" s="1"/>
  <c r="H78" i="3"/>
  <c r="E78" i="3" s="1"/>
  <c r="F77" i="3"/>
  <c r="E77" i="3" s="1"/>
  <c r="H75" i="3"/>
  <c r="E75" i="3" s="1"/>
  <c r="F64" i="3"/>
  <c r="H66" i="3"/>
  <c r="E66" i="3" s="1"/>
  <c r="H67" i="3"/>
  <c r="E67" i="3" s="1"/>
  <c r="H68" i="3"/>
  <c r="E68" i="3" s="1"/>
  <c r="H65" i="3"/>
  <c r="E65" i="3" s="1"/>
  <c r="H55" i="3"/>
  <c r="E55" i="3" s="1"/>
  <c r="H56" i="3"/>
  <c r="E56" i="3" s="1"/>
  <c r="H57" i="3"/>
  <c r="H58" i="3"/>
  <c r="E58" i="3" s="1"/>
  <c r="H59" i="3"/>
  <c r="E59" i="3" s="1"/>
  <c r="H60" i="3"/>
  <c r="E60" i="3" s="1"/>
  <c r="H61" i="3"/>
  <c r="E61" i="3" s="1"/>
  <c r="H62" i="3"/>
  <c r="E62" i="3" s="1"/>
  <c r="H63" i="3"/>
  <c r="E63" i="3" s="1"/>
  <c r="H54" i="3"/>
  <c r="E54" i="3" s="1"/>
  <c r="H50" i="3"/>
  <c r="E50" i="3" s="1"/>
  <c r="H51" i="3"/>
  <c r="E51" i="3" s="1"/>
  <c r="H52" i="3"/>
  <c r="E52" i="3" s="1"/>
  <c r="H49" i="3"/>
  <c r="E49" i="3" s="1"/>
  <c r="H43" i="3"/>
  <c r="E43" i="3" s="1"/>
  <c r="H44" i="3"/>
  <c r="E44" i="3" s="1"/>
  <c r="H45" i="3"/>
  <c r="E45" i="3" s="1"/>
  <c r="H46" i="3"/>
  <c r="H47" i="3"/>
  <c r="E47" i="3" s="1"/>
  <c r="F41" i="3"/>
  <c r="H39" i="3"/>
  <c r="E39" i="3" s="1"/>
  <c r="H38" i="3"/>
  <c r="H33" i="3"/>
  <c r="E33" i="3" s="1"/>
  <c r="H34" i="3"/>
  <c r="E34" i="3" s="1"/>
  <c r="H35" i="3"/>
  <c r="H36" i="3"/>
  <c r="E36" i="3" s="1"/>
  <c r="H32" i="3"/>
  <c r="H30" i="3"/>
  <c r="E30" i="3" s="1"/>
  <c r="H25" i="3"/>
  <c r="E25" i="3" s="1"/>
  <c r="H26" i="3"/>
  <c r="E26" i="3" s="1"/>
  <c r="H27" i="3"/>
  <c r="E27" i="3" s="1"/>
  <c r="H29" i="3"/>
  <c r="E29" i="3" s="1"/>
  <c r="H24" i="3"/>
  <c r="H21" i="3"/>
  <c r="H22" i="3"/>
  <c r="H20" i="3"/>
  <c r="E20" i="3" s="1"/>
  <c r="H17" i="3"/>
  <c r="E17" i="3" s="1"/>
  <c r="H13" i="3"/>
  <c r="H12" i="3"/>
  <c r="E12" i="3" s="1"/>
  <c r="F131" i="3"/>
  <c r="E131" i="3" s="1"/>
  <c r="F128" i="3"/>
  <c r="F123" i="3"/>
  <c r="F120" i="3"/>
  <c r="F119" i="3" s="1"/>
  <c r="F112" i="3"/>
  <c r="F109" i="3"/>
  <c r="F106" i="3"/>
  <c r="F97" i="3"/>
  <c r="F96" i="3" s="1"/>
  <c r="F86" i="3"/>
  <c r="E86" i="3" s="1"/>
  <c r="F79" i="3"/>
  <c r="F71" i="3"/>
  <c r="F70" i="3" s="1"/>
  <c r="F53" i="3"/>
  <c r="F48" i="3"/>
  <c r="F37" i="3"/>
  <c r="F31" i="3"/>
  <c r="F28" i="3"/>
  <c r="F23" i="3"/>
  <c r="F18" i="3"/>
  <c r="F15" i="3"/>
  <c r="F11" i="3"/>
  <c r="F10" i="3" s="1"/>
  <c r="T131" i="3"/>
  <c r="S131" i="3"/>
  <c r="S128" i="3" s="1"/>
  <c r="R131" i="3"/>
  <c r="R128" i="3" s="1"/>
  <c r="Q131" i="3"/>
  <c r="Q128" i="3" s="1"/>
  <c r="P131" i="3"/>
  <c r="O131" i="3"/>
  <c r="N131" i="3"/>
  <c r="N128" i="3" s="1"/>
  <c r="M131" i="3"/>
  <c r="M128" i="3" s="1"/>
  <c r="L131" i="3"/>
  <c r="L128" i="3" s="1"/>
  <c r="K131" i="3"/>
  <c r="J131" i="3"/>
  <c r="J128" i="3" s="1"/>
  <c r="I131" i="3"/>
  <c r="T128" i="3"/>
  <c r="P128" i="3"/>
  <c r="O128" i="3"/>
  <c r="K128" i="3"/>
  <c r="I128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T120" i="3"/>
  <c r="S120" i="3"/>
  <c r="S119" i="3" s="1"/>
  <c r="R120" i="3"/>
  <c r="Q120" i="3"/>
  <c r="P120" i="3"/>
  <c r="P119" i="3" s="1"/>
  <c r="O120" i="3"/>
  <c r="N120" i="3"/>
  <c r="N119" i="3" s="1"/>
  <c r="M120" i="3"/>
  <c r="M119" i="3" s="1"/>
  <c r="L120" i="3"/>
  <c r="K120" i="3"/>
  <c r="K119" i="3" s="1"/>
  <c r="J120" i="3"/>
  <c r="I120" i="3"/>
  <c r="T119" i="3"/>
  <c r="R119" i="3"/>
  <c r="Q119" i="3"/>
  <c r="O119" i="3"/>
  <c r="L119" i="3"/>
  <c r="J119" i="3"/>
  <c r="I119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T97" i="3"/>
  <c r="S97" i="3"/>
  <c r="R97" i="3"/>
  <c r="Q97" i="3"/>
  <c r="P97" i="3"/>
  <c r="O97" i="3"/>
  <c r="O96" i="3" s="1"/>
  <c r="N97" i="3"/>
  <c r="M97" i="3"/>
  <c r="L97" i="3"/>
  <c r="K97" i="3"/>
  <c r="J97" i="3"/>
  <c r="J96" i="3" s="1"/>
  <c r="I97" i="3"/>
  <c r="T86" i="3"/>
  <c r="S86" i="3"/>
  <c r="R86" i="3"/>
  <c r="Q86" i="3"/>
  <c r="P86" i="3"/>
  <c r="O86" i="3"/>
  <c r="N86" i="3"/>
  <c r="M86" i="3"/>
  <c r="L86" i="3"/>
  <c r="K86" i="3"/>
  <c r="J86" i="3"/>
  <c r="I86" i="3"/>
  <c r="T79" i="3"/>
  <c r="S79" i="3"/>
  <c r="R79" i="3"/>
  <c r="Q79" i="3"/>
  <c r="Q74" i="3" s="1"/>
  <c r="P79" i="3"/>
  <c r="O79" i="3"/>
  <c r="N79" i="3"/>
  <c r="M79" i="3"/>
  <c r="L79" i="3"/>
  <c r="K79" i="3"/>
  <c r="J79" i="3"/>
  <c r="I79" i="3"/>
  <c r="I74" i="3" s="1"/>
  <c r="S74" i="3"/>
  <c r="P74" i="3"/>
  <c r="N74" i="3"/>
  <c r="M74" i="3"/>
  <c r="K74" i="3"/>
  <c r="R71" i="3"/>
  <c r="R70" i="3" s="1"/>
  <c r="T64" i="3"/>
  <c r="S64" i="3"/>
  <c r="R64" i="3"/>
  <c r="Q64" i="3"/>
  <c r="P64" i="3"/>
  <c r="O64" i="3"/>
  <c r="N64" i="3"/>
  <c r="M64" i="3"/>
  <c r="L64" i="3"/>
  <c r="K64" i="3"/>
  <c r="J64" i="3"/>
  <c r="I64" i="3"/>
  <c r="T53" i="3"/>
  <c r="S53" i="3"/>
  <c r="R53" i="3"/>
  <c r="Q53" i="3"/>
  <c r="P53" i="3"/>
  <c r="O53" i="3"/>
  <c r="N53" i="3"/>
  <c r="M53" i="3"/>
  <c r="L53" i="3"/>
  <c r="K53" i="3"/>
  <c r="J53" i="3"/>
  <c r="I53" i="3"/>
  <c r="T48" i="3"/>
  <c r="S48" i="3"/>
  <c r="R48" i="3"/>
  <c r="Q48" i="3"/>
  <c r="P48" i="3"/>
  <c r="O48" i="3"/>
  <c r="N48" i="3"/>
  <c r="M48" i="3"/>
  <c r="L48" i="3"/>
  <c r="K48" i="3"/>
  <c r="J48" i="3"/>
  <c r="I48" i="3"/>
  <c r="T41" i="3"/>
  <c r="S41" i="3"/>
  <c r="R41" i="3"/>
  <c r="R40" i="3" s="1"/>
  <c r="Q41" i="3"/>
  <c r="P41" i="3"/>
  <c r="O41" i="3"/>
  <c r="N41" i="3"/>
  <c r="M41" i="3"/>
  <c r="L41" i="3"/>
  <c r="K41" i="3"/>
  <c r="J41" i="3"/>
  <c r="I41" i="3"/>
  <c r="T37" i="3"/>
  <c r="S37" i="3"/>
  <c r="R37" i="3"/>
  <c r="Q37" i="3"/>
  <c r="P37" i="3"/>
  <c r="O37" i="3"/>
  <c r="N37" i="3"/>
  <c r="M37" i="3"/>
  <c r="L37" i="3"/>
  <c r="K37" i="3"/>
  <c r="J37" i="3"/>
  <c r="I37" i="3"/>
  <c r="T31" i="3"/>
  <c r="S31" i="3"/>
  <c r="R31" i="3"/>
  <c r="Q31" i="3"/>
  <c r="P31" i="3"/>
  <c r="O31" i="3"/>
  <c r="N31" i="3"/>
  <c r="M31" i="3"/>
  <c r="L31" i="3"/>
  <c r="K31" i="3"/>
  <c r="J31" i="3"/>
  <c r="I31" i="3"/>
  <c r="T28" i="3"/>
  <c r="S28" i="3"/>
  <c r="R28" i="3"/>
  <c r="Q28" i="3"/>
  <c r="P28" i="3"/>
  <c r="O28" i="3"/>
  <c r="N28" i="3"/>
  <c r="M28" i="3"/>
  <c r="L28" i="3"/>
  <c r="K28" i="3"/>
  <c r="H28" i="3" s="1"/>
  <c r="E28" i="3" s="1"/>
  <c r="J28" i="3"/>
  <c r="I28" i="3"/>
  <c r="T23" i="3"/>
  <c r="S23" i="3"/>
  <c r="R23" i="3"/>
  <c r="Q23" i="3"/>
  <c r="P23" i="3"/>
  <c r="O23" i="3"/>
  <c r="N23" i="3"/>
  <c r="M23" i="3"/>
  <c r="L23" i="3"/>
  <c r="K23" i="3"/>
  <c r="J23" i="3"/>
  <c r="I23" i="3"/>
  <c r="S18" i="3"/>
  <c r="O18" i="3"/>
  <c r="I18" i="3"/>
  <c r="T11" i="3"/>
  <c r="H77" i="3"/>
  <c r="H109" i="3"/>
  <c r="E109" i="3" s="1"/>
  <c r="E123" i="3" l="1"/>
  <c r="M96" i="3"/>
  <c r="H128" i="3"/>
  <c r="E128" i="3" s="1"/>
  <c r="E89" i="3"/>
  <c r="L40" i="3"/>
  <c r="T40" i="3"/>
  <c r="H123" i="3"/>
  <c r="H119" i="3" s="1"/>
  <c r="E119" i="3" s="1"/>
  <c r="P96" i="3"/>
  <c r="F74" i="3"/>
  <c r="E121" i="3"/>
  <c r="Q40" i="3"/>
  <c r="K96" i="3"/>
  <c r="S96" i="3"/>
  <c r="H37" i="3"/>
  <c r="E37" i="3" s="1"/>
  <c r="H79" i="3"/>
  <c r="E79" i="3" s="1"/>
  <c r="E120" i="3"/>
  <c r="N96" i="3"/>
  <c r="R96" i="3"/>
  <c r="H72" i="3"/>
  <c r="H71" i="3" s="1"/>
  <c r="H70" i="3" s="1"/>
  <c r="E70" i="3" s="1"/>
  <c r="J71" i="3"/>
  <c r="J70" i="3" s="1"/>
  <c r="H64" i="3"/>
  <c r="E64" i="3" s="1"/>
  <c r="S40" i="3"/>
  <c r="K40" i="3"/>
  <c r="O40" i="3"/>
  <c r="I40" i="3"/>
  <c r="M40" i="3"/>
  <c r="J40" i="3"/>
  <c r="E41" i="3"/>
  <c r="P40" i="3"/>
  <c r="N40" i="3"/>
  <c r="H53" i="3"/>
  <c r="E53" i="3" s="1"/>
  <c r="E42" i="3"/>
  <c r="H23" i="3"/>
  <c r="E23" i="3" s="1"/>
  <c r="E24" i="3"/>
  <c r="H19" i="3"/>
  <c r="H18" i="3" s="1"/>
  <c r="E18" i="3" s="1"/>
  <c r="J18" i="3"/>
  <c r="L96" i="3"/>
  <c r="Q96" i="3"/>
  <c r="I96" i="3"/>
  <c r="T96" i="3"/>
  <c r="H106" i="3"/>
  <c r="E106" i="3" s="1"/>
  <c r="T10" i="3"/>
  <c r="S10" i="3"/>
  <c r="H112" i="3"/>
  <c r="E112" i="3" s="1"/>
  <c r="H97" i="3"/>
  <c r="H74" i="3"/>
  <c r="F40" i="3"/>
  <c r="F9" i="3" s="1"/>
  <c r="H48" i="3"/>
  <c r="E48" i="3" s="1"/>
  <c r="H31" i="3"/>
  <c r="E31" i="3" s="1"/>
  <c r="E74" i="3" l="1"/>
  <c r="E71" i="3"/>
  <c r="E72" i="3"/>
  <c r="S9" i="3"/>
  <c r="H40" i="3"/>
  <c r="E40" i="3" s="1"/>
  <c r="E19" i="3"/>
  <c r="T9" i="3"/>
  <c r="H96" i="3"/>
  <c r="E96" i="3" s="1"/>
  <c r="E97" i="3"/>
  <c r="R15" i="3"/>
  <c r="R11" i="3"/>
  <c r="Q15" i="3" l="1"/>
  <c r="R10" i="3"/>
  <c r="R9" i="3" s="1"/>
  <c r="Q11" i="3"/>
  <c r="P15" i="3" l="1"/>
  <c r="Q10" i="3"/>
  <c r="Q9" i="3" s="1"/>
  <c r="P11" i="3"/>
  <c r="P10" i="3" l="1"/>
  <c r="P9" i="3" s="1"/>
  <c r="O15" i="3"/>
  <c r="O11" i="3"/>
  <c r="O10" i="3" l="1"/>
  <c r="O9" i="3" s="1"/>
  <c r="N15" i="3"/>
  <c r="N11" i="3"/>
  <c r="M15" i="3" l="1"/>
  <c r="N10" i="3"/>
  <c r="N9" i="3" s="1"/>
  <c r="M11" i="3"/>
  <c r="L15" i="3" l="1"/>
  <c r="M10" i="3"/>
  <c r="M9" i="3" s="1"/>
  <c r="L11" i="3"/>
  <c r="L10" i="3" l="1"/>
  <c r="L9" i="3" s="1"/>
  <c r="K15" i="3"/>
  <c r="K11" i="3"/>
  <c r="K10" i="3" l="1"/>
  <c r="K9" i="3" s="1"/>
  <c r="J15" i="3"/>
  <c r="J11" i="3"/>
  <c r="I15" i="3" l="1"/>
  <c r="H16" i="3"/>
  <c r="J10" i="3"/>
  <c r="J9" i="3" s="1"/>
  <c r="H11" i="3"/>
  <c r="E11" i="3" s="1"/>
  <c r="I11" i="3"/>
  <c r="I10" i="3" l="1"/>
  <c r="I9" i="3" s="1"/>
  <c r="H15" i="3"/>
  <c r="E15" i="3" s="1"/>
  <c r="E16" i="3"/>
  <c r="H10" i="3" l="1"/>
  <c r="E10" i="3" s="1"/>
  <c r="H9" i="3" l="1"/>
  <c r="E9" i="3" s="1"/>
</calcChain>
</file>

<file path=xl/sharedStrings.xml><?xml version="1.0" encoding="utf-8"?>
<sst xmlns="http://schemas.openxmlformats.org/spreadsheetml/2006/main" count="140" uniqueCount="126">
  <si>
    <t>TUXTLA GUTIÉRREZ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</si>
  <si>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</si>
  <si>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</si>
  <si>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</si>
  <si>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</si>
  <si>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</si>
  <si>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</si>
  <si>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</si>
  <si>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</si>
  <si>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</si>
  <si>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</si>
  <si>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</si>
  <si>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</si>
  <si>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</si>
  <si>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</si>
  <si>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</si>
  <si>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TOTAL DE INGRESOS 2023</t>
  </si>
  <si>
    <t>Impuestos sobre los Ingresos.</t>
  </si>
  <si>
    <t>Del Impuesto sobre Diversiones y Espectáculos Públicos.</t>
  </si>
  <si>
    <t>Del Impuesto sobre Juegos Permitidos, Rifas, Sorteos y Loterías.</t>
  </si>
  <si>
    <t>Del Impuesto Sobre el Uso de Inmuebles Destinados a la Prestación de Hospedaje</t>
  </si>
  <si>
    <t>Impuestos sobre el patrimonio</t>
  </si>
  <si>
    <t>Del Impuesto Predial.</t>
  </si>
  <si>
    <t>Del Impuesto Sobre Fraccionamientos</t>
  </si>
  <si>
    <t>Impuestos sobre la producción, el consumo y las transacciones.</t>
  </si>
  <si>
    <t>Del Impuesto sobre Traslación de Dominio de Bienes Inmuebles</t>
  </si>
  <si>
    <t>Impuestos al Comercio Exterior.</t>
  </si>
  <si>
    <t>Impuestos Ecológicos.</t>
  </si>
  <si>
    <t>Accesorios de Impuestos.</t>
  </si>
  <si>
    <t>Recargos.</t>
  </si>
  <si>
    <t>Sanciones.</t>
  </si>
  <si>
    <t>Gastos de Ejecución.</t>
  </si>
  <si>
    <t>Indemnizaciones.</t>
  </si>
  <si>
    <t>Otros Impuestos.</t>
  </si>
  <si>
    <t>Del Impuesto no comprendidos en los tipos anteriores</t>
  </si>
  <si>
    <t>Impuestos no Comprendidos en la Ley de Ingresos Vigente, Causados en Ejercicios Fiscales Anteriores Pendientes de Liquidación o Pago.</t>
  </si>
  <si>
    <t>CUOTAS Y APORTACIONES DE SEGURIDAD SOCIAL.</t>
  </si>
  <si>
    <t>Aportaciones para Fondos de Vivienda.</t>
  </si>
  <si>
    <t>Cuotas para la Seguridad Social.</t>
  </si>
  <si>
    <t>Cuotas de Ahorro para el Retiro.</t>
  </si>
  <si>
    <t>Otras Cuotas y Aportaciones para la Seguridad</t>
  </si>
  <si>
    <t>Accesorios de Cuotas y Aportaciones de Seguridad Social.</t>
  </si>
  <si>
    <t>CONTRIBUCIONES DE MEJORAS.</t>
  </si>
  <si>
    <t>Contribución de Mejoras por Obras Públicas.</t>
  </si>
  <si>
    <t>Contribuciones de Mejoras No Comprendidas en la Ley de Ingresos Vigente, Causadas en Ejercicios Fiscales Anteriores Pendientes de Liquidación o Pago.</t>
  </si>
  <si>
    <t>DERECHOS.</t>
  </si>
  <si>
    <t>Derechos por el Uso, Goce, Aprovechamiento o Explotación de Bienes de Dominio Público.</t>
  </si>
  <si>
    <t>De los mercados y otros sitios.</t>
  </si>
  <si>
    <t>Del Uso de la Vía Pública o de otros Bienes de Uso Común.</t>
  </si>
  <si>
    <t>De los Panteones.</t>
  </si>
  <si>
    <t>De los Servicios para Estacionamientos.</t>
  </si>
  <si>
    <t>Por el uso de instalaciones</t>
  </si>
  <si>
    <t>De los servicios de recolección, transportación, tratamiento y destino final de residuos sólidos.</t>
  </si>
  <si>
    <t>Derechos por Prestación de Servicios.</t>
  </si>
  <si>
    <t>De Agua Potable, Drenaje, Alcantarillado y Saneamiento.</t>
  </si>
  <si>
    <t>De limpieza de baldíos</t>
  </si>
  <si>
    <t>Otros Derechos.</t>
  </si>
  <si>
    <t>Del Rastro e Inspección Sanitaria.</t>
  </si>
  <si>
    <t>De las Certificaciones.</t>
  </si>
  <si>
    <t>De las licencias y refrendos de funcionamiento comercial, industrial y de servicios.</t>
  </si>
  <si>
    <t>De los anuncion.</t>
  </si>
  <si>
    <t>Acceso a la información pública.</t>
  </si>
  <si>
    <t>Otros no especificados.</t>
  </si>
  <si>
    <t>Accesorios de Derechos.</t>
  </si>
  <si>
    <t>Derechos no Comprendidos en la Ley de Ingresos Vigente, Causados en Ejercicios Fiscales Anteriores Pendientes de Liquidación o pago.</t>
  </si>
  <si>
    <t>PRODUCTOS.</t>
  </si>
  <si>
    <t>Productos</t>
  </si>
  <si>
    <t>De los Productos diversos.</t>
  </si>
  <si>
    <t>Productos no Comprendidos en la Ley de Ingresos Vigente, Causados en Ejercicios Fiscales Anteriores Pendientes de Liquidación o Pago.</t>
  </si>
  <si>
    <t>APROVECHAMIENTOS.</t>
  </si>
  <si>
    <t>Rezagos</t>
  </si>
  <si>
    <t>Aprovechamientos.</t>
  </si>
  <si>
    <t>Aprovechamientos patrimoniales.</t>
  </si>
  <si>
    <t>Venta o explotación de bienes muebles e inmuebles propiedad del Municipio.</t>
  </si>
  <si>
    <t>Accesorios de Aprovechamientos.</t>
  </si>
  <si>
    <t>Recargos</t>
  </si>
  <si>
    <t>Sanciones</t>
  </si>
  <si>
    <t>Otros aprovechamientos.</t>
  </si>
  <si>
    <t>Aprovechamientos no Comprendidos en la Ley de Ingresos Vigente, Causados en Ejercicios Fiscales Anteriores Pendientes de Liquidación o Pago.</t>
  </si>
  <si>
    <t>INGRESOS POR VENTA DE BIENES, PRESTACIÓN DE SERVICIOS Y OTROS INGRESOS.</t>
  </si>
  <si>
    <t>Ingresos por Venta de Bienes y Prestación de Servicios de Instituciones Públicas de Seguridad Social.</t>
  </si>
  <si>
    <t>Ingresos por Venta de Bienes y Prestación de Servicios de Empresas Productivas del Estado.</t>
  </si>
  <si>
    <t>Ingresos por Venta de Bienes y Prestación de Servicios de Entidades Paraestatales y Fideicomisos No Empresariales y No Financieros.</t>
  </si>
  <si>
    <t>Ingresos por Venta de Bienes y Prestación de Servicios de Entidades Paraestatales Empresariales No Financieras con Participación Estatal Mayoritaria.</t>
  </si>
  <si>
    <t>Ingresos por Venta de Bienes y Prestación de Servicios de Entidades Paraestatales Empresariales Financieras Monetarias con Participación Estatal Mayoritaria.</t>
  </si>
  <si>
    <t>Ingresos por Venta de Bienes y Prestación de Servicios de Entidades Paraestatales Empresariales Financieras No Monetarias con Participación Estatal Mayoritaria.</t>
  </si>
  <si>
    <t>Ingresos por Venta de Bienes y Prestación de Servicios de Fideicomisos Financieros Públicos con Participación Estatal Mayoritaria.</t>
  </si>
  <si>
    <t>Ingresos por Venta de Bienes y Prestación de Servicios de los Poderes Legislativo y Judicial, y de los Órganos Autónomos.</t>
  </si>
  <si>
    <t>Otros Ingresos.</t>
  </si>
  <si>
    <t>PARTICIPACIONES, APORTACIONES, CONVENIOS E INCENTVOS DERIVADOS DE LA COLABORACIÓN FISCAL Y FONDOS DISTINTOS DE APORTACIONES</t>
  </si>
  <si>
    <t>Participaciones.</t>
  </si>
  <si>
    <t>Fondo General de Participaciones.</t>
  </si>
  <si>
    <t>Fondo de Fomento Municipal.</t>
  </si>
  <si>
    <t>Fondo de Fiscalización y Recaudación.</t>
  </si>
  <si>
    <t>Fondo de Compensación.</t>
  </si>
  <si>
    <t>Fondo de Extracción de Hidrocarburos.</t>
  </si>
  <si>
    <t>Impuesto Especial Sobre Producción y Servicios.</t>
  </si>
  <si>
    <t>Gasolina y Diesel.</t>
  </si>
  <si>
    <t>Fondo de Estabilización de los Ingresos de las Entidades Federativas.</t>
  </si>
  <si>
    <t>Aportaciones</t>
  </si>
  <si>
    <t>Fondo de Aportaciones para la Infraestructura Social Municipal.</t>
  </si>
  <si>
    <t>Fondo de Aportaciones para el Fortalecimiento de los Municipios y las Demarcaciones Territoriales del D.F.</t>
  </si>
  <si>
    <t>Convenios</t>
  </si>
  <si>
    <t>Bebidas Alcohólicas.</t>
  </si>
  <si>
    <t>Otros.</t>
  </si>
  <si>
    <t>Incentivos Derivados de la Colaboración Fiscal</t>
  </si>
  <si>
    <t>Sobre Tenencia o Uso de Vehículos.</t>
  </si>
  <si>
    <t>Fondo de Compensación del ISAN.</t>
  </si>
  <si>
    <t>Impuesto Sobre Automóviles Nuevos.</t>
  </si>
  <si>
    <t>Fondo de Compensación de Repecos-Intermedios.</t>
  </si>
  <si>
    <t>Otros Incentivos Económicos.</t>
  </si>
  <si>
    <t>Fondos Distintos de Aportaciones.</t>
  </si>
  <si>
    <t>TRANSFERENCIAS, ASIGNACIONES, SUBSIDIOS Y SUBVENCIONES, Y PENSIONES Y JUBILACIONES.</t>
  </si>
  <si>
    <t>Transferencias y Asignaciones.</t>
  </si>
  <si>
    <t>Del Gobierno Federal.</t>
  </si>
  <si>
    <t>Del Gobierno del Estado.</t>
  </si>
  <si>
    <t>Subsidios y Subvenciones.</t>
  </si>
  <si>
    <t>Pensiones y Jubilaciones.</t>
  </si>
  <si>
    <t>Transferencias del Fondo Mexicano del Petróleo para la Estabilización y el Desarrollo.</t>
  </si>
  <si>
    <t>INGRESOS DERIVADOS DE FINANCIAMIENTOS</t>
  </si>
  <si>
    <t>Endeudamiento interno</t>
  </si>
  <si>
    <t>Endeudamiento externo</t>
  </si>
  <si>
    <t>Financiamiento Interno</t>
  </si>
  <si>
    <t>Financiamientos</t>
  </si>
  <si>
    <r>
      <t>Impuestos sobre Nóminas y Asimilables</t>
    </r>
    <r>
      <rPr>
        <sz val="8"/>
        <rFont val="Arial"/>
        <family val="2"/>
      </rPr>
      <t>.</t>
    </r>
  </si>
  <si>
    <t>CALENDARIO DE INGRESOS ESTIMADOS PARA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</si>
</sst>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164" formatCode="[$$-80A]#,##0.00"/>
    <numFmt numFmtId="165" formatCode="[$$-80A]#,##0.00;[$$-80A]#,##0.00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4" fontId="6" fillId="0" borderId="0" applyFont="0" applyFill="0" applyBorder="0" applyAlignment="0" applyProtection="0"/>
  </cellStyleXfs>
  <cellXfs count="38">
    <xf numFmtId="0" fontId="0" fillId="0" borderId="0" xfId="0">
      <alignment vertical="top"/>
    </xf>
    <xf numFmtId="165" fontId="3" fillId="0" borderId="0" xfId="1" applyNumberFormat="1" applyFont="1" applyAlignment="1">
      <alignment horizontal="right" vertical="top" wrapText="1"/>
    </xf>
    <xf numFmtId="0" fontId="1" fillId="0" borderId="0" xfId="1">
      <alignment vertical="top"/>
    </xf>
    <xf numFmtId="2" fontId="1" fillId="0" borderId="0" xfId="1" applyNumberFormat="1">
      <alignment vertical="top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0" xfId="0" applyFo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0" xfId="0" applyFont="1" applyAlignment="1">
      <alignment horizontal="justify" vertical="center" wrapText="1" readingOrder="1"/>
    </xf>
    <xf numFmtId="0" fontId="7" fillId="0" borderId="0" xfId="0" applyFont="1" applyAlignment="1">
      <alignment horizontal="justify" vertical="center" wrapText="1" readingOrder="1"/>
    </xf>
    <xf numFmtId="0" fontId="7" fillId="0" borderId="0" xfId="0" applyFont="1" applyAlignment="1">
      <alignment horizontal="left" vertical="center" wrapText="1" readingOrder="1"/>
    </xf>
    <xf numFmtId="7" fontId="5" fillId="0" borderId="0" xfId="0" applyNumberFormat="1" applyFont="1">
      <alignment vertical="top"/>
    </xf>
    <xf numFmtId="7" fontId="7" fillId="0" borderId="0" xfId="0" applyNumberFormat="1" applyFont="1" applyAlignment="1">
      <alignment horizontal="center" vertical="center" wrapText="1"/>
    </xf>
    <xf numFmtId="7" fontId="7" fillId="0" borderId="0" xfId="2" applyNumberFormat="1" applyFont="1" applyFill="1" applyBorder="1" applyAlignment="1">
      <alignment vertical="center" wrapText="1"/>
    </xf>
    <xf numFmtId="7" fontId="8" fillId="0" borderId="0" xfId="2" applyNumberFormat="1" applyFont="1" applyFill="1" applyBorder="1" applyAlignment="1">
      <alignment vertical="center" wrapText="1"/>
    </xf>
    <xf numFmtId="7" fontId="8" fillId="0" borderId="0" xfId="2" applyNumberFormat="1" applyFont="1" applyFill="1" applyBorder="1"/>
    <xf numFmtId="0" fontId="8" fillId="0" borderId="0" xfId="0" applyFont="1">
      <alignment vertical="top"/>
    </xf>
    <xf numFmtId="0" fontId="7" fillId="0" borderId="0" xfId="0" applyFont="1">
      <alignment vertical="top"/>
    </xf>
    <xf numFmtId="165" fontId="5" fillId="0" borderId="0" xfId="1" applyNumberFormat="1" applyFont="1" applyAlignment="1">
      <alignment horizontal="right" vertical="top" wrapText="1"/>
    </xf>
    <xf numFmtId="7" fontId="5" fillId="0" borderId="0" xfId="0" applyNumberFormat="1" applyFont="1" applyAlignment="1">
      <alignment horizontal="right" vertical="top"/>
    </xf>
    <xf numFmtId="0" fontId="1" fillId="2" borderId="0" xfId="1" applyFill="1">
      <alignment vertical="top"/>
    </xf>
    <xf numFmtId="164" fontId="1" fillId="2" borderId="0" xfId="1" applyNumberFormat="1" applyFill="1">
      <alignment vertical="top"/>
    </xf>
    <xf numFmtId="0" fontId="0" fillId="2" borderId="0" xfId="0" applyFill="1">
      <alignment vertical="top"/>
    </xf>
    <xf numFmtId="7" fontId="7" fillId="2" borderId="0" xfId="0" applyNumberFormat="1" applyFont="1" applyFill="1" applyAlignment="1">
      <alignment horizontal="center" vertical="center" wrapText="1"/>
    </xf>
    <xf numFmtId="7" fontId="7" fillId="2" borderId="0" xfId="2" applyNumberFormat="1" applyFont="1" applyFill="1" applyBorder="1" applyAlignment="1">
      <alignment vertical="center" wrapText="1"/>
    </xf>
    <xf numFmtId="7" fontId="8" fillId="2" borderId="0" xfId="2" applyNumberFormat="1" applyFont="1" applyFill="1" applyBorder="1" applyAlignment="1">
      <alignment vertical="center" wrapText="1"/>
    </xf>
    <xf numFmtId="7" fontId="8" fillId="2" borderId="0" xfId="2" applyNumberFormat="1" applyFont="1" applyFill="1" applyBorder="1"/>
    <xf numFmtId="7" fontId="8" fillId="2" borderId="0" xfId="2" applyNumberFormat="1" applyFont="1" applyFill="1" applyBorder="1" applyAlignment="1">
      <alignment vertical="top" wrapText="1"/>
    </xf>
    <xf numFmtId="5" fontId="7" fillId="0" borderId="0" xfId="0" applyNumberFormat="1" applyFont="1" applyAlignment="1">
      <alignment horizontal="center" vertical="center" wrapText="1"/>
    </xf>
    <xf numFmtId="5" fontId="7" fillId="0" borderId="0" xfId="2" applyNumberFormat="1" applyFont="1" applyFill="1" applyBorder="1" applyAlignment="1">
      <alignment vertical="center" wrapText="1"/>
    </xf>
    <xf numFmtId="5" fontId="8" fillId="0" borderId="0" xfId="2" applyNumberFormat="1" applyFont="1" applyFill="1" applyBorder="1" applyAlignment="1">
      <alignment vertical="center" wrapText="1"/>
    </xf>
    <xf numFmtId="5" fontId="8" fillId="0" borderId="0" xfId="2" applyNumberFormat="1" applyFont="1" applyFill="1" applyBorder="1"/>
    <xf numFmtId="5" fontId="8" fillId="0" borderId="0" xfId="2" applyNumberFormat="1" applyFont="1" applyFill="1" applyBorder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3"/>
  <sheetViews>
    <sheetView showGridLines="0" tabSelected="1" topLeftCell="B1" zoomScaleNormal="100" workbookViewId="0">
      <selection activeCell="D4" sqref="D4:T4"/>
    </sheetView>
  </sheetViews>
  <sheetFormatPr baseColWidth="10" defaultColWidth="11.44140625" defaultRowHeight="13.2" x14ac:dyDescent="0.25"/>
  <cols>
    <col min="1" max="1" width="0.88671875" hidden="1" customWidth="1"/>
    <col min="2" max="3" width="0.88671875" customWidth="1"/>
    <col min="4" max="4" width="65.5546875" customWidth="1"/>
    <col min="5" max="5" width="15.33203125" hidden="1" customWidth="1"/>
    <col min="6" max="6" width="13.88671875" style="24" hidden="1" customWidth="1"/>
    <col min="7" max="7" width="1.6640625" customWidth="1"/>
    <col min="8" max="8" width="15.6640625" customWidth="1"/>
    <col min="9" max="16" width="15.44140625" bestFit="1" customWidth="1"/>
    <col min="17" max="17" width="18.88671875" bestFit="1" customWidth="1"/>
    <col min="18" max="20" width="15.44140625" bestFit="1" customWidth="1"/>
    <col min="21" max="22" width="14.6640625" bestFit="1" customWidth="1"/>
  </cols>
  <sheetData>
    <row r="1" spans="2:22" ht="12.75" customHeight="1" x14ac:dyDescent="0.25">
      <c r="B1" s="2"/>
      <c r="C1" s="2"/>
      <c r="D1" s="2"/>
      <c r="E1" s="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2" ht="12.75" customHeight="1" x14ac:dyDescent="0.25">
      <c r="B2" s="2"/>
      <c r="C2" s="2"/>
      <c r="D2" s="35" t="s">
        <v>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2:22" x14ac:dyDescent="0.25">
      <c r="B3" s="2"/>
      <c r="C3" s="2"/>
      <c r="D3" s="2"/>
      <c r="E3" s="2"/>
      <c r="F3" s="2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2" ht="12.75" customHeight="1" x14ac:dyDescent="0.25">
      <c r="B4" s="2"/>
      <c r="C4" s="2"/>
      <c r="D4" s="36" t="s">
        <v>125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2:22" x14ac:dyDescent="0.25">
      <c r="B5" s="2"/>
      <c r="C5" s="2"/>
      <c r="D5" s="2"/>
      <c r="E5" s="2"/>
      <c r="F5" s="23"/>
      <c r="G5" s="3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2" ht="12.75" customHeight="1" x14ac:dyDescent="0.25">
      <c r="B6" s="37" t="s">
        <v>1</v>
      </c>
      <c r="C6" s="37"/>
      <c r="D6" s="37"/>
      <c r="E6" s="37"/>
      <c r="F6" s="37"/>
      <c r="G6" s="37"/>
      <c r="H6" s="4" t="s">
        <v>2</v>
      </c>
      <c r="I6" s="4" t="s">
        <v>3</v>
      </c>
      <c r="J6" s="4" t="s">
        <v>4</v>
      </c>
      <c r="K6" s="4" t="s">
        <v>5</v>
      </c>
      <c r="L6" s="4" t="s">
        <v>6</v>
      </c>
      <c r="M6" s="4" t="s">
        <v>7</v>
      </c>
      <c r="N6" s="4" t="s">
        <v>8</v>
      </c>
      <c r="O6" s="4" t="s">
        <v>9</v>
      </c>
      <c r="P6" s="4" t="s">
        <v>10</v>
      </c>
      <c r="Q6" s="4" t="s">
        <v>11</v>
      </c>
      <c r="R6" s="4" t="s">
        <v>12</v>
      </c>
      <c r="S6" s="4" t="s">
        <v>13</v>
      </c>
      <c r="T6" s="5" t="s">
        <v>14</v>
      </c>
    </row>
    <row r="7" spans="2:22" ht="6" customHeight="1" x14ac:dyDescent="0.25"/>
    <row r="8" spans="2:22" ht="6" customHeight="1" x14ac:dyDescent="0.25"/>
    <row r="9" spans="2:22" s="6" customFormat="1" ht="11.25" customHeight="1" x14ac:dyDescent="0.25">
      <c r="D9" s="7" t="s">
        <v>16</v>
      </c>
      <c r="E9" s="13">
        <f>+F9-H9</f>
        <v>2437042.0061798096</v>
      </c>
      <c r="F9" s="25">
        <f>F10+F31+F37+F40+F70+F74+F86+F96+F119+F128</f>
        <v>2933449017</v>
      </c>
      <c r="G9" s="18"/>
      <c r="H9" s="30">
        <f>H10+H31+H37+H40+H70+H74+H86+H96+H119+H128</f>
        <v>2931011974.9938202</v>
      </c>
      <c r="I9" s="14">
        <f>I10+I31+I37+I40+I70+I74+I86+I96+I119+I128</f>
        <v>403881950.93068814</v>
      </c>
      <c r="J9" s="14">
        <f t="shared" ref="J9:T9" si="0">J10+J31+J37+J40+J70+J74+J86+J96+J119+J128</f>
        <v>321268454.91914469</v>
      </c>
      <c r="K9" s="14">
        <f t="shared" si="0"/>
        <v>256608026.54494578</v>
      </c>
      <c r="L9" s="14">
        <f t="shared" si="0"/>
        <v>249894942.7708939</v>
      </c>
      <c r="M9" s="14">
        <f t="shared" si="0"/>
        <v>220418315.68741015</v>
      </c>
      <c r="N9" s="14">
        <f t="shared" si="0"/>
        <v>227088005.20122156</v>
      </c>
      <c r="O9" s="14">
        <f t="shared" si="0"/>
        <v>214829417.97533792</v>
      </c>
      <c r="P9" s="14">
        <f t="shared" si="0"/>
        <v>216675095.80187768</v>
      </c>
      <c r="Q9" s="14">
        <f t="shared" si="0"/>
        <v>208990678.53452447</v>
      </c>
      <c r="R9" s="14">
        <f t="shared" si="0"/>
        <v>196348917.15093535</v>
      </c>
      <c r="S9" s="14">
        <f t="shared" si="0"/>
        <v>207195624.41362593</v>
      </c>
      <c r="T9" s="14">
        <f t="shared" si="0"/>
        <v>210249587.06359911</v>
      </c>
      <c r="U9" s="13"/>
      <c r="V9" s="13"/>
    </row>
    <row r="10" spans="2:22" s="6" customFormat="1" ht="10.199999999999999" x14ac:dyDescent="0.25">
      <c r="D10" s="8" t="s">
        <v>15</v>
      </c>
      <c r="E10" s="13">
        <f t="shared" ref="E10:E73" si="1">+F10-H10</f>
        <v>4.72259521484375E-3</v>
      </c>
      <c r="F10" s="26">
        <f>F11+F15+F18+F20+F21+F22+F23+F28+F30</f>
        <v>346242722</v>
      </c>
      <c r="G10" s="18"/>
      <c r="H10" s="31">
        <f>H11+H15+H18+H20+H21+H22+H23+H28+H30</f>
        <v>346242721.9952774</v>
      </c>
      <c r="I10" s="15">
        <f t="shared" ref="I10:T10" si="2">I11+I15+I18+I20+I21+I22+I23+I28+I30</f>
        <v>118256901.32354373</v>
      </c>
      <c r="J10" s="15">
        <f t="shared" si="2"/>
        <v>28733406.718115307</v>
      </c>
      <c r="K10" s="15">
        <f t="shared" si="2"/>
        <v>23762420.293893397</v>
      </c>
      <c r="L10" s="15">
        <f t="shared" si="2"/>
        <v>19175089.05680063</v>
      </c>
      <c r="M10" s="15">
        <f t="shared" si="2"/>
        <v>19154282.755919751</v>
      </c>
      <c r="N10" s="15">
        <f t="shared" si="2"/>
        <v>19167729.04526585</v>
      </c>
      <c r="O10" s="15">
        <f t="shared" si="2"/>
        <v>18206890.404901329</v>
      </c>
      <c r="P10" s="15">
        <f t="shared" si="2"/>
        <v>17937277.743685327</v>
      </c>
      <c r="Q10" s="15">
        <f t="shared" si="2"/>
        <v>18366559.080205329</v>
      </c>
      <c r="R10" s="15">
        <f t="shared" si="2"/>
        <v>18737741.876982868</v>
      </c>
      <c r="S10" s="15">
        <f t="shared" si="2"/>
        <v>20583382.977075182</v>
      </c>
      <c r="T10" s="15">
        <f t="shared" si="2"/>
        <v>24161040.718888678</v>
      </c>
    </row>
    <row r="11" spans="2:22" s="6" customFormat="1" ht="10.199999999999999" x14ac:dyDescent="0.25">
      <c r="D11" s="8" t="s">
        <v>17</v>
      </c>
      <c r="E11" s="13">
        <f t="shared" si="1"/>
        <v>0</v>
      </c>
      <c r="F11" s="26">
        <f>SUM(F12:F14)</f>
        <v>4140829</v>
      </c>
      <c r="G11" s="18"/>
      <c r="H11" s="31">
        <f>SUM(H12:H14)</f>
        <v>4140828.9999999991</v>
      </c>
      <c r="I11" s="15">
        <f t="shared" ref="I11:T11" si="3">SUM(I12:I14)</f>
        <v>345069.08333333331</v>
      </c>
      <c r="J11" s="15">
        <f t="shared" si="3"/>
        <v>345069.08333333331</v>
      </c>
      <c r="K11" s="15">
        <f t="shared" si="3"/>
        <v>345069.08333333331</v>
      </c>
      <c r="L11" s="15">
        <f t="shared" si="3"/>
        <v>345069.08333333331</v>
      </c>
      <c r="M11" s="15">
        <f t="shared" si="3"/>
        <v>345069.08333333331</v>
      </c>
      <c r="N11" s="15">
        <f t="shared" si="3"/>
        <v>345069.08333333331</v>
      </c>
      <c r="O11" s="15">
        <f t="shared" si="3"/>
        <v>345069.08333333331</v>
      </c>
      <c r="P11" s="15">
        <f t="shared" si="3"/>
        <v>345069.08333333331</v>
      </c>
      <c r="Q11" s="15">
        <f t="shared" si="3"/>
        <v>345069.08333333331</v>
      </c>
      <c r="R11" s="15">
        <f t="shared" si="3"/>
        <v>345069.08333333331</v>
      </c>
      <c r="S11" s="15">
        <f t="shared" si="3"/>
        <v>345069.08333333331</v>
      </c>
      <c r="T11" s="15">
        <f t="shared" si="3"/>
        <v>345069.08333333331</v>
      </c>
    </row>
    <row r="12" spans="2:22" s="6" customFormat="1" ht="10.199999999999999" x14ac:dyDescent="0.25">
      <c r="D12" s="9" t="s">
        <v>18</v>
      </c>
      <c r="E12" s="13">
        <f t="shared" si="1"/>
        <v>0</v>
      </c>
      <c r="F12" s="27">
        <v>1106590</v>
      </c>
      <c r="G12" s="18"/>
      <c r="H12" s="32">
        <f>SUM(I12:T12)</f>
        <v>1106589.9999999993</v>
      </c>
      <c r="I12" s="16">
        <v>92215.833333333299</v>
      </c>
      <c r="J12" s="16">
        <v>92215.833333333299</v>
      </c>
      <c r="K12" s="16">
        <v>92215.833333333299</v>
      </c>
      <c r="L12" s="16">
        <v>92215.833333333299</v>
      </c>
      <c r="M12" s="16">
        <v>92215.833333333299</v>
      </c>
      <c r="N12" s="16">
        <v>92215.833333333299</v>
      </c>
      <c r="O12" s="16">
        <v>92215.833333333299</v>
      </c>
      <c r="P12" s="16">
        <v>92215.833333333299</v>
      </c>
      <c r="Q12" s="16">
        <v>92215.833333333299</v>
      </c>
      <c r="R12" s="16">
        <v>92215.833333333299</v>
      </c>
      <c r="S12" s="16">
        <v>92215.833333333299</v>
      </c>
      <c r="T12" s="16">
        <v>92215.833333333299</v>
      </c>
    </row>
    <row r="13" spans="2:22" s="6" customFormat="1" ht="10.199999999999999" x14ac:dyDescent="0.25">
      <c r="D13" s="9" t="s">
        <v>19</v>
      </c>
      <c r="E13" s="13">
        <f t="shared" si="1"/>
        <v>0</v>
      </c>
      <c r="F13" s="27">
        <v>0</v>
      </c>
      <c r="G13" s="18"/>
      <c r="H13" s="32">
        <f t="shared" ref="H13" si="4">SUM(I13:T13)</f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</row>
    <row r="14" spans="2:22" s="6" customFormat="1" ht="10.199999999999999" x14ac:dyDescent="0.25">
      <c r="D14" s="9" t="s">
        <v>20</v>
      </c>
      <c r="E14" s="13">
        <f t="shared" si="1"/>
        <v>0</v>
      </c>
      <c r="F14" s="27">
        <v>3034239</v>
      </c>
      <c r="G14" s="18"/>
      <c r="H14" s="32">
        <f>SUM(I14:T14)</f>
        <v>3034239</v>
      </c>
      <c r="I14" s="6">
        <v>252853.25</v>
      </c>
      <c r="J14" s="6">
        <v>252853.25</v>
      </c>
      <c r="K14" s="6">
        <v>252853.25</v>
      </c>
      <c r="L14" s="6">
        <v>252853.25</v>
      </c>
      <c r="M14" s="6">
        <v>252853.25</v>
      </c>
      <c r="N14" s="6">
        <v>252853.25</v>
      </c>
      <c r="O14" s="6">
        <v>252853.25</v>
      </c>
      <c r="P14" s="6">
        <v>252853.25</v>
      </c>
      <c r="Q14" s="6">
        <v>252853.25</v>
      </c>
      <c r="R14" s="6">
        <v>252853.25</v>
      </c>
      <c r="S14" s="6">
        <v>252853.25</v>
      </c>
      <c r="T14" s="6">
        <v>252853.25</v>
      </c>
    </row>
    <row r="15" spans="2:22" s="6" customFormat="1" ht="10.199999999999999" x14ac:dyDescent="0.25">
      <c r="D15" s="8" t="s">
        <v>21</v>
      </c>
      <c r="E15" s="13">
        <f t="shared" si="1"/>
        <v>2.8824806213378906E-4</v>
      </c>
      <c r="F15" s="26">
        <f>SUM(F16:F17)</f>
        <v>202691821</v>
      </c>
      <c r="G15" s="18"/>
      <c r="H15" s="31">
        <f>SUM(H16:H17)</f>
        <v>202691820.99971175</v>
      </c>
      <c r="I15" s="15">
        <f t="shared" ref="I15:T15" si="5">SUM(I16:I17)</f>
        <v>103862606.442068</v>
      </c>
      <c r="J15" s="15">
        <f t="shared" si="5"/>
        <v>17542867.383807398</v>
      </c>
      <c r="K15" s="15">
        <f t="shared" si="5"/>
        <v>12093491.433995601</v>
      </c>
      <c r="L15" s="15">
        <f t="shared" si="5"/>
        <v>8093415.6474048002</v>
      </c>
      <c r="M15" s="15">
        <f t="shared" si="5"/>
        <v>7571798.0677760001</v>
      </c>
      <c r="N15" s="15">
        <f t="shared" si="5"/>
        <v>7144096.0254039997</v>
      </c>
      <c r="O15" s="15">
        <f t="shared" si="5"/>
        <v>7049594.5964080002</v>
      </c>
      <c r="P15" s="15">
        <f t="shared" si="5"/>
        <v>7245518.8341560001</v>
      </c>
      <c r="Q15" s="15">
        <f t="shared" si="5"/>
        <v>7016058.9517599996</v>
      </c>
      <c r="R15" s="15">
        <f t="shared" si="5"/>
        <v>7104502.7056679996</v>
      </c>
      <c r="S15" s="15">
        <f t="shared" si="5"/>
        <v>7454740.8904719399</v>
      </c>
      <c r="T15" s="15">
        <f t="shared" si="5"/>
        <v>10513130.020792</v>
      </c>
    </row>
    <row r="16" spans="2:22" s="6" customFormat="1" ht="10.199999999999999" x14ac:dyDescent="0.25">
      <c r="D16" s="9" t="s">
        <v>22</v>
      </c>
      <c r="E16" s="13">
        <f t="shared" si="1"/>
        <v>2.8824806213378906E-4</v>
      </c>
      <c r="F16" s="27">
        <v>202691821</v>
      </c>
      <c r="G16" s="18"/>
      <c r="H16" s="32">
        <f>SUM(I16:T16)</f>
        <v>202691820.99971175</v>
      </c>
      <c r="I16" s="20">
        <f>103612606.442068+250000</f>
        <v>103862606.442068</v>
      </c>
      <c r="J16" s="20">
        <f>17292867.3838074+250000</f>
        <v>17542867.383807398</v>
      </c>
      <c r="K16" s="20">
        <f>11843491.4339956+250000</f>
        <v>12093491.433995601</v>
      </c>
      <c r="L16" s="20">
        <f>7843415.6474048+250000</f>
        <v>8093415.6474048002</v>
      </c>
      <c r="M16" s="20">
        <f>7321798.067776+250000</f>
        <v>7571798.0677760001</v>
      </c>
      <c r="N16" s="20">
        <f>6894096.025404+250000</f>
        <v>7144096.0254039997</v>
      </c>
      <c r="O16" s="20">
        <f>6799594.596408+250000</f>
        <v>7049594.5964080002</v>
      </c>
      <c r="P16" s="20">
        <f>6995518.834156+250000</f>
        <v>7245518.8341560001</v>
      </c>
      <c r="Q16" s="20">
        <f>6766058.95176+250000</f>
        <v>7016058.9517599996</v>
      </c>
      <c r="R16" s="20">
        <f>6854502.705668+250000</f>
        <v>7104502.7056679996</v>
      </c>
      <c r="S16" s="20">
        <f>7204740.89047194+250000</f>
        <v>7454740.8904719399</v>
      </c>
      <c r="T16" s="20">
        <f>10433198.020792+79932</f>
        <v>10513130.020792</v>
      </c>
    </row>
    <row r="17" spans="4:20" s="6" customFormat="1" ht="10.199999999999999" x14ac:dyDescent="0.25">
      <c r="D17" s="9" t="s">
        <v>23</v>
      </c>
      <c r="E17" s="13">
        <f t="shared" si="1"/>
        <v>0</v>
      </c>
      <c r="F17" s="27">
        <v>0</v>
      </c>
      <c r="G17" s="18"/>
      <c r="H17" s="32">
        <f>SUM(I17:T17)</f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4:20" s="6" customFormat="1" ht="10.199999999999999" x14ac:dyDescent="0.25">
      <c r="D18" s="8" t="s">
        <v>24</v>
      </c>
      <c r="E18" s="13">
        <f t="shared" si="1"/>
        <v>4.4343024492263794E-3</v>
      </c>
      <c r="F18" s="26">
        <f>F19</f>
        <v>87866859</v>
      </c>
      <c r="G18" s="18"/>
      <c r="H18" s="31">
        <f>H19</f>
        <v>87866858.995565698</v>
      </c>
      <c r="I18" s="15">
        <f t="shared" ref="I18:T18" si="6">I19</f>
        <v>9753958.0481423996</v>
      </c>
      <c r="J18" s="15">
        <f t="shared" si="6"/>
        <v>6550202.5009745797</v>
      </c>
      <c r="K18" s="15">
        <f t="shared" si="6"/>
        <v>7028592.0265644705</v>
      </c>
      <c r="L18" s="15">
        <f t="shared" si="6"/>
        <v>6441336.5760625005</v>
      </c>
      <c r="M18" s="15">
        <f t="shared" si="6"/>
        <v>6942147.8548104204</v>
      </c>
      <c r="N18" s="15">
        <f t="shared" si="6"/>
        <v>7383296.1865285197</v>
      </c>
      <c r="O18" s="15">
        <f t="shared" si="6"/>
        <v>6516958.9751599999</v>
      </c>
      <c r="P18" s="15">
        <f t="shared" si="6"/>
        <v>6051422.076196</v>
      </c>
      <c r="Q18" s="15">
        <f t="shared" si="6"/>
        <v>6710163.2951119998</v>
      </c>
      <c r="R18" s="15">
        <f t="shared" si="6"/>
        <v>6992902.3379815398</v>
      </c>
      <c r="S18" s="15">
        <f t="shared" si="6"/>
        <v>8488305.2532699108</v>
      </c>
      <c r="T18" s="15">
        <f t="shared" si="6"/>
        <v>9007573.8647633493</v>
      </c>
    </row>
    <row r="19" spans="4:20" s="6" customFormat="1" ht="10.199999999999999" x14ac:dyDescent="0.25">
      <c r="D19" s="9" t="s">
        <v>25</v>
      </c>
      <c r="E19" s="13">
        <f t="shared" si="1"/>
        <v>4.4343024492263794E-3</v>
      </c>
      <c r="F19" s="27">
        <v>87866859</v>
      </c>
      <c r="G19" s="18"/>
      <c r="H19" s="32">
        <f>SUM(I19:T19)</f>
        <v>87866858.995565698</v>
      </c>
      <c r="I19" s="20">
        <f>7633415.4881424-699787.69+795436.25+1024894+1000000</f>
        <v>9753958.0481423996</v>
      </c>
      <c r="J19" s="20">
        <f>4429669.84097458-699787.59+795436.25+1024884+1000000</f>
        <v>6550202.5009745797</v>
      </c>
      <c r="K19" s="20">
        <f>4908059.36656447-699787.59+795436.25+1024884+1000000</f>
        <v>7028592.0265644705</v>
      </c>
      <c r="L19" s="20">
        <f>4320803.9160625-699787.59+795436.25+1024884+1000000</f>
        <v>6441336.5760625005</v>
      </c>
      <c r="M19" s="20">
        <f>4821615.19481042-699787.59+795436.25+1024884+1000000</f>
        <v>6942147.8548104204</v>
      </c>
      <c r="N19" s="20">
        <f>5262763.52652852-699787.59+795436.25+1024884+1000000</f>
        <v>7383296.1865285197</v>
      </c>
      <c r="O19" s="20">
        <f>4396426.31516-699787.59+795436.25+1024884+1000000</f>
        <v>6516958.9751599999</v>
      </c>
      <c r="P19" s="20">
        <f>3930889.416196-699787.59+795436.25+1024884+1000000</f>
        <v>6051422.076196</v>
      </c>
      <c r="Q19" s="20">
        <f>4589630.635112-699787.59+795436.25+1024884+1000000</f>
        <v>6710163.2951119998</v>
      </c>
      <c r="R19" s="20">
        <f>4872369.67798154-699787.59+795436.25+1024884+1000000</f>
        <v>6992902.3379815398</v>
      </c>
      <c r="S19" s="20">
        <f>6367772.59326991-699787.59+795436.25+1024884+1000000</f>
        <v>8488305.2532699108</v>
      </c>
      <c r="T19" s="20">
        <f>7460068.20476335-699787.59+795436.25+1024884+426973</f>
        <v>9007573.8647633493</v>
      </c>
    </row>
    <row r="20" spans="4:20" s="6" customFormat="1" ht="10.199999999999999" x14ac:dyDescent="0.25">
      <c r="D20" s="8" t="s">
        <v>26</v>
      </c>
      <c r="E20" s="13">
        <f t="shared" si="1"/>
        <v>0</v>
      </c>
      <c r="F20" s="26">
        <v>0</v>
      </c>
      <c r="G20" s="18"/>
      <c r="H20" s="31">
        <f>SUM(I20:T20)</f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</row>
    <row r="21" spans="4:20" s="6" customFormat="1" ht="10.199999999999999" x14ac:dyDescent="0.25">
      <c r="D21" s="8" t="s">
        <v>124</v>
      </c>
      <c r="E21" s="13">
        <f t="shared" si="1"/>
        <v>0</v>
      </c>
      <c r="F21" s="26">
        <v>0</v>
      </c>
      <c r="G21" s="18"/>
      <c r="H21" s="31">
        <f t="shared" ref="H21:H22" si="7">SUM(I21:T21)</f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</row>
    <row r="22" spans="4:20" s="6" customFormat="1" ht="10.199999999999999" x14ac:dyDescent="0.25">
      <c r="D22" s="8" t="s">
        <v>27</v>
      </c>
      <c r="E22" s="13">
        <f t="shared" si="1"/>
        <v>0</v>
      </c>
      <c r="F22" s="26">
        <v>0</v>
      </c>
      <c r="G22" s="18"/>
      <c r="H22" s="31">
        <f t="shared" si="7"/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</row>
    <row r="23" spans="4:20" s="6" customFormat="1" ht="10.199999999999999" x14ac:dyDescent="0.25">
      <c r="D23" s="8" t="s">
        <v>28</v>
      </c>
      <c r="E23" s="13">
        <f t="shared" si="1"/>
        <v>0</v>
      </c>
      <c r="F23" s="26">
        <f>SUM(F24:F27)</f>
        <v>9598685</v>
      </c>
      <c r="G23" s="18"/>
      <c r="H23" s="31">
        <f>SUM(H24:H27)</f>
        <v>9598684.9999999888</v>
      </c>
      <c r="I23" s="15">
        <f t="shared" ref="I23:T23" si="8">SUM(I24:I27)</f>
        <v>799890.4166666657</v>
      </c>
      <c r="J23" s="15">
        <f t="shared" si="8"/>
        <v>799890.4166666657</v>
      </c>
      <c r="K23" s="15">
        <f t="shared" si="8"/>
        <v>799890.4166666657</v>
      </c>
      <c r="L23" s="15">
        <f t="shared" si="8"/>
        <v>799890.4166666657</v>
      </c>
      <c r="M23" s="15">
        <f t="shared" si="8"/>
        <v>799890.4166666657</v>
      </c>
      <c r="N23" s="15">
        <f t="shared" si="8"/>
        <v>799890.4166666657</v>
      </c>
      <c r="O23" s="15">
        <f t="shared" si="8"/>
        <v>799890.4166666657</v>
      </c>
      <c r="P23" s="15">
        <f t="shared" si="8"/>
        <v>799890.4166666657</v>
      </c>
      <c r="Q23" s="15">
        <f t="shared" si="8"/>
        <v>799890.4166666657</v>
      </c>
      <c r="R23" s="15">
        <f t="shared" si="8"/>
        <v>799890.4166666657</v>
      </c>
      <c r="S23" s="15">
        <f t="shared" si="8"/>
        <v>799890.4166666657</v>
      </c>
      <c r="T23" s="15">
        <f t="shared" si="8"/>
        <v>799890.4166666657</v>
      </c>
    </row>
    <row r="24" spans="4:20" s="6" customFormat="1" ht="10.199999999999999" x14ac:dyDescent="0.25">
      <c r="D24" s="9" t="s">
        <v>29</v>
      </c>
      <c r="E24" s="13">
        <f t="shared" si="1"/>
        <v>7.4505805969238281E-9</v>
      </c>
      <c r="F24" s="27">
        <v>7206275</v>
      </c>
      <c r="G24" s="18"/>
      <c r="H24" s="32">
        <f>SUM(I24:T24)</f>
        <v>7206274.9999999925</v>
      </c>
      <c r="I24" s="16">
        <v>600522.91666666605</v>
      </c>
      <c r="J24" s="16">
        <v>600522.91666666605</v>
      </c>
      <c r="K24" s="16">
        <v>600522.91666666605</v>
      </c>
      <c r="L24" s="16">
        <v>600522.91666666605</v>
      </c>
      <c r="M24" s="16">
        <v>600522.91666666605</v>
      </c>
      <c r="N24" s="16">
        <v>600522.91666666605</v>
      </c>
      <c r="O24" s="16">
        <v>600522.91666666605</v>
      </c>
      <c r="P24" s="16">
        <v>600522.91666666605</v>
      </c>
      <c r="Q24" s="16">
        <v>600522.91666666605</v>
      </c>
      <c r="R24" s="16">
        <v>600522.91666666605</v>
      </c>
      <c r="S24" s="16">
        <v>600522.91666666605</v>
      </c>
      <c r="T24" s="16">
        <v>600522.91666666605</v>
      </c>
    </row>
    <row r="25" spans="4:20" s="6" customFormat="1" ht="10.199999999999999" x14ac:dyDescent="0.25">
      <c r="D25" s="9" t="s">
        <v>30</v>
      </c>
      <c r="E25" s="13">
        <f t="shared" si="1"/>
        <v>4.1909515857696533E-9</v>
      </c>
      <c r="F25" s="27">
        <v>2234044</v>
      </c>
      <c r="G25" s="18"/>
      <c r="H25" s="32">
        <f t="shared" ref="H25:H29" si="9">SUM(I25:T25)</f>
        <v>2234043.9999999958</v>
      </c>
      <c r="I25" s="16">
        <v>186170.33333333299</v>
      </c>
      <c r="J25" s="16">
        <v>186170.33333333299</v>
      </c>
      <c r="K25" s="16">
        <v>186170.33333333299</v>
      </c>
      <c r="L25" s="16">
        <v>186170.33333333299</v>
      </c>
      <c r="M25" s="16">
        <v>186170.33333333299</v>
      </c>
      <c r="N25" s="16">
        <v>186170.33333333299</v>
      </c>
      <c r="O25" s="16">
        <v>186170.33333333299</v>
      </c>
      <c r="P25" s="16">
        <v>186170.33333333299</v>
      </c>
      <c r="Q25" s="16">
        <v>186170.33333333299</v>
      </c>
      <c r="R25" s="16">
        <v>186170.33333333299</v>
      </c>
      <c r="S25" s="16">
        <v>186170.33333333299</v>
      </c>
      <c r="T25" s="16">
        <v>186170.33333333299</v>
      </c>
    </row>
    <row r="26" spans="4:20" s="6" customFormat="1" ht="10.199999999999999" x14ac:dyDescent="0.25">
      <c r="D26" s="9" t="s">
        <v>31</v>
      </c>
      <c r="E26" s="13">
        <f t="shared" si="1"/>
        <v>7.8580342233181E-10</v>
      </c>
      <c r="F26" s="27">
        <v>158366</v>
      </c>
      <c r="G26" s="18"/>
      <c r="H26" s="32">
        <f t="shared" si="9"/>
        <v>158365.99999999921</v>
      </c>
      <c r="I26" s="16">
        <v>13197.166666666601</v>
      </c>
      <c r="J26" s="16">
        <v>13197.166666666601</v>
      </c>
      <c r="K26" s="16">
        <v>13197.166666666601</v>
      </c>
      <c r="L26" s="16">
        <v>13197.166666666601</v>
      </c>
      <c r="M26" s="16">
        <v>13197.166666666601</v>
      </c>
      <c r="N26" s="16">
        <v>13197.166666666601</v>
      </c>
      <c r="O26" s="16">
        <v>13197.166666666601</v>
      </c>
      <c r="P26" s="16">
        <v>13197.166666666601</v>
      </c>
      <c r="Q26" s="16">
        <v>13197.166666666601</v>
      </c>
      <c r="R26" s="16">
        <v>13197.166666666601</v>
      </c>
      <c r="S26" s="16">
        <v>13197.166666666601</v>
      </c>
      <c r="T26" s="16">
        <v>13197.166666666601</v>
      </c>
    </row>
    <row r="27" spans="4:20" s="6" customFormat="1" ht="10.199999999999999" x14ac:dyDescent="0.25">
      <c r="D27" s="9" t="s">
        <v>32</v>
      </c>
      <c r="E27" s="13">
        <f t="shared" si="1"/>
        <v>0</v>
      </c>
      <c r="F27" s="27">
        <v>0</v>
      </c>
      <c r="G27" s="18"/>
      <c r="H27" s="32">
        <f t="shared" si="9"/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4:20" s="6" customFormat="1" ht="10.199999999999999" x14ac:dyDescent="0.25">
      <c r="D28" s="8" t="s">
        <v>33</v>
      </c>
      <c r="E28" s="13">
        <f t="shared" si="1"/>
        <v>0</v>
      </c>
      <c r="F28" s="27">
        <f>F29</f>
        <v>0</v>
      </c>
      <c r="G28" s="18"/>
      <c r="H28" s="32">
        <f t="shared" si="9"/>
        <v>0</v>
      </c>
      <c r="I28" s="16">
        <f t="shared" ref="I28:T28" si="10">I29</f>
        <v>0</v>
      </c>
      <c r="J28" s="16">
        <f t="shared" si="10"/>
        <v>0</v>
      </c>
      <c r="K28" s="16">
        <f t="shared" si="10"/>
        <v>0</v>
      </c>
      <c r="L28" s="16">
        <f t="shared" si="10"/>
        <v>0</v>
      </c>
      <c r="M28" s="16">
        <f t="shared" si="10"/>
        <v>0</v>
      </c>
      <c r="N28" s="16">
        <f t="shared" si="10"/>
        <v>0</v>
      </c>
      <c r="O28" s="16">
        <f t="shared" si="10"/>
        <v>0</v>
      </c>
      <c r="P28" s="16">
        <f t="shared" si="10"/>
        <v>0</v>
      </c>
      <c r="Q28" s="16">
        <f t="shared" si="10"/>
        <v>0</v>
      </c>
      <c r="R28" s="16">
        <f t="shared" si="10"/>
        <v>0</v>
      </c>
      <c r="S28" s="16">
        <f t="shared" si="10"/>
        <v>0</v>
      </c>
      <c r="T28" s="16">
        <f t="shared" si="10"/>
        <v>0</v>
      </c>
    </row>
    <row r="29" spans="4:20" s="6" customFormat="1" ht="10.199999999999999" x14ac:dyDescent="0.25">
      <c r="D29" s="10" t="s">
        <v>34</v>
      </c>
      <c r="E29" s="13">
        <f t="shared" si="1"/>
        <v>0</v>
      </c>
      <c r="F29" s="27">
        <v>0</v>
      </c>
      <c r="G29" s="18"/>
      <c r="H29" s="32">
        <f t="shared" si="9"/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</row>
    <row r="30" spans="4:20" s="6" customFormat="1" ht="20.399999999999999" x14ac:dyDescent="0.25">
      <c r="D30" s="11" t="s">
        <v>35</v>
      </c>
      <c r="E30" s="13">
        <f t="shared" si="1"/>
        <v>0</v>
      </c>
      <c r="F30" s="27">
        <v>41944528</v>
      </c>
      <c r="G30" s="18"/>
      <c r="H30" s="32">
        <f>SUM(I30:T30)</f>
        <v>41944527.999999948</v>
      </c>
      <c r="I30" s="16">
        <v>3495377.3333333302</v>
      </c>
      <c r="J30" s="16">
        <v>3495377.3333333302</v>
      </c>
      <c r="K30" s="16">
        <v>3495377.3333333302</v>
      </c>
      <c r="L30" s="16">
        <v>3495377.3333333302</v>
      </c>
      <c r="M30" s="16">
        <v>3495377.3333333302</v>
      </c>
      <c r="N30" s="16">
        <v>3495377.3333333302</v>
      </c>
      <c r="O30" s="16">
        <v>3495377.3333333302</v>
      </c>
      <c r="P30" s="16">
        <v>3495377.3333333302</v>
      </c>
      <c r="Q30" s="16">
        <v>3495377.3333333302</v>
      </c>
      <c r="R30" s="16">
        <v>3495377.3333333302</v>
      </c>
      <c r="S30" s="16">
        <v>3495377.3333333302</v>
      </c>
      <c r="T30" s="16">
        <v>3495377.3333333302</v>
      </c>
    </row>
    <row r="31" spans="4:20" s="6" customFormat="1" ht="10.199999999999999" x14ac:dyDescent="0.25">
      <c r="D31" s="8" t="s">
        <v>36</v>
      </c>
      <c r="E31" s="13">
        <f t="shared" si="1"/>
        <v>0</v>
      </c>
      <c r="F31" s="26">
        <f>SUM(F32:F36)</f>
        <v>0</v>
      </c>
      <c r="G31" s="18"/>
      <c r="H31" s="31">
        <f>SUM(H32:H36)</f>
        <v>0</v>
      </c>
      <c r="I31" s="15">
        <f t="shared" ref="I31:T31" si="11">SUM(I32:I36)</f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5">
        <f t="shared" si="11"/>
        <v>0</v>
      </c>
      <c r="N31" s="15">
        <f t="shared" si="11"/>
        <v>0</v>
      </c>
      <c r="O31" s="15">
        <f t="shared" si="11"/>
        <v>0</v>
      </c>
      <c r="P31" s="15">
        <f t="shared" si="11"/>
        <v>0</v>
      </c>
      <c r="Q31" s="15">
        <f t="shared" si="11"/>
        <v>0</v>
      </c>
      <c r="R31" s="15">
        <f t="shared" si="11"/>
        <v>0</v>
      </c>
      <c r="S31" s="15">
        <f t="shared" si="11"/>
        <v>0</v>
      </c>
      <c r="T31" s="15">
        <f t="shared" si="11"/>
        <v>0</v>
      </c>
    </row>
    <row r="32" spans="4:20" s="6" customFormat="1" ht="10.199999999999999" x14ac:dyDescent="0.25">
      <c r="D32" s="8" t="s">
        <v>37</v>
      </c>
      <c r="E32" s="13">
        <f t="shared" si="1"/>
        <v>0</v>
      </c>
      <c r="F32" s="26">
        <v>0</v>
      </c>
      <c r="G32" s="18"/>
      <c r="H32" s="31">
        <f>SUM(I32:T32)</f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</row>
    <row r="33" spans="4:20" s="6" customFormat="1" ht="10.199999999999999" x14ac:dyDescent="0.25">
      <c r="D33" s="8" t="s">
        <v>38</v>
      </c>
      <c r="E33" s="13">
        <f t="shared" si="1"/>
        <v>0</v>
      </c>
      <c r="F33" s="26">
        <v>0</v>
      </c>
      <c r="G33" s="18"/>
      <c r="H33" s="31">
        <f t="shared" ref="H33:H36" si="12">SUM(I33:T33)</f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</row>
    <row r="34" spans="4:20" s="6" customFormat="1" ht="10.199999999999999" x14ac:dyDescent="0.25">
      <c r="D34" s="8" t="s">
        <v>39</v>
      </c>
      <c r="E34" s="13">
        <f t="shared" si="1"/>
        <v>0</v>
      </c>
      <c r="F34" s="26">
        <v>0</v>
      </c>
      <c r="G34" s="18"/>
      <c r="H34" s="31">
        <f t="shared" si="12"/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</row>
    <row r="35" spans="4:20" s="6" customFormat="1" ht="10.199999999999999" x14ac:dyDescent="0.25">
      <c r="D35" s="8" t="s">
        <v>40</v>
      </c>
      <c r="E35" s="13">
        <f t="shared" si="1"/>
        <v>0</v>
      </c>
      <c r="F35" s="26">
        <v>0</v>
      </c>
      <c r="G35" s="18"/>
      <c r="H35" s="31">
        <f t="shared" si="12"/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</row>
    <row r="36" spans="4:20" s="6" customFormat="1" ht="10.199999999999999" x14ac:dyDescent="0.25">
      <c r="D36" s="8" t="s">
        <v>41</v>
      </c>
      <c r="E36" s="13">
        <f t="shared" si="1"/>
        <v>0</v>
      </c>
      <c r="F36" s="26">
        <v>0</v>
      </c>
      <c r="G36" s="18"/>
      <c r="H36" s="31">
        <f t="shared" si="12"/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4:20" s="6" customFormat="1" ht="10.199999999999999" x14ac:dyDescent="0.25">
      <c r="D37" s="8" t="s">
        <v>42</v>
      </c>
      <c r="E37" s="13">
        <f t="shared" si="1"/>
        <v>0</v>
      </c>
      <c r="F37" s="26">
        <f>SUM(F38:F39)</f>
        <v>1000</v>
      </c>
      <c r="G37" s="18"/>
      <c r="H37" s="31">
        <f>SUM(H38:H39)</f>
        <v>999.99999999999943</v>
      </c>
      <c r="I37" s="15">
        <f t="shared" ref="I37:T37" si="13">SUM(I38:I39)</f>
        <v>83.3333333333333</v>
      </c>
      <c r="J37" s="15">
        <f t="shared" si="13"/>
        <v>83.3333333333333</v>
      </c>
      <c r="K37" s="15">
        <f t="shared" si="13"/>
        <v>83.3333333333333</v>
      </c>
      <c r="L37" s="15">
        <f t="shared" si="13"/>
        <v>83.3333333333333</v>
      </c>
      <c r="M37" s="15">
        <f t="shared" si="13"/>
        <v>83.3333333333333</v>
      </c>
      <c r="N37" s="15">
        <f t="shared" si="13"/>
        <v>83.3333333333333</v>
      </c>
      <c r="O37" s="15">
        <f t="shared" si="13"/>
        <v>83.3333333333333</v>
      </c>
      <c r="P37" s="15">
        <f t="shared" si="13"/>
        <v>83.3333333333333</v>
      </c>
      <c r="Q37" s="15">
        <f t="shared" si="13"/>
        <v>83.3333333333333</v>
      </c>
      <c r="R37" s="15">
        <f t="shared" si="13"/>
        <v>83.3333333333333</v>
      </c>
      <c r="S37" s="15">
        <f t="shared" si="13"/>
        <v>83.3333333333333</v>
      </c>
      <c r="T37" s="15">
        <f t="shared" si="13"/>
        <v>83.3333333333333</v>
      </c>
    </row>
    <row r="38" spans="4:20" s="6" customFormat="1" ht="10.199999999999999" x14ac:dyDescent="0.25">
      <c r="D38" s="9" t="s">
        <v>43</v>
      </c>
      <c r="E38" s="13">
        <f t="shared" si="1"/>
        <v>0</v>
      </c>
      <c r="F38" s="27">
        <v>1000</v>
      </c>
      <c r="G38" s="18"/>
      <c r="H38" s="32">
        <f>SUM(I38:T38)</f>
        <v>999.99999999999943</v>
      </c>
      <c r="I38" s="16">
        <v>83.3333333333333</v>
      </c>
      <c r="J38" s="16">
        <v>83.3333333333333</v>
      </c>
      <c r="K38" s="16">
        <v>83.3333333333333</v>
      </c>
      <c r="L38" s="16">
        <v>83.3333333333333</v>
      </c>
      <c r="M38" s="16">
        <v>83.3333333333333</v>
      </c>
      <c r="N38" s="16">
        <v>83.3333333333333</v>
      </c>
      <c r="O38" s="16">
        <v>83.3333333333333</v>
      </c>
      <c r="P38" s="16">
        <v>83.3333333333333</v>
      </c>
      <c r="Q38" s="16">
        <v>83.3333333333333</v>
      </c>
      <c r="R38" s="16">
        <v>83.3333333333333</v>
      </c>
      <c r="S38" s="16">
        <v>83.3333333333333</v>
      </c>
      <c r="T38" s="16">
        <v>83.3333333333333</v>
      </c>
    </row>
    <row r="39" spans="4:20" s="6" customFormat="1" ht="20.399999999999999" x14ac:dyDescent="0.25">
      <c r="D39" s="10" t="s">
        <v>44</v>
      </c>
      <c r="E39" s="13">
        <f t="shared" si="1"/>
        <v>0</v>
      </c>
      <c r="F39" s="27">
        <v>0</v>
      </c>
      <c r="G39" s="18"/>
      <c r="H39" s="32">
        <f>SUM(I39:T39)</f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</row>
    <row r="40" spans="4:20" s="6" customFormat="1" ht="10.199999999999999" x14ac:dyDescent="0.25">
      <c r="D40" s="8" t="s">
        <v>45</v>
      </c>
      <c r="E40" s="13">
        <f t="shared" si="1"/>
        <v>2437042.0007692575</v>
      </c>
      <c r="F40" s="26">
        <f>+F41+F48+F53+F64+F69</f>
        <v>56798614</v>
      </c>
      <c r="G40" s="18"/>
      <c r="H40" s="31">
        <f>+H41+H48+H53+H64+H69</f>
        <v>54361571.999230742</v>
      </c>
      <c r="I40" s="15">
        <f t="shared" ref="I40:T40" si="14">+I41+I48+I53+I64+I69</f>
        <v>5688774.1694394955</v>
      </c>
      <c r="J40" s="15">
        <f t="shared" si="14"/>
        <v>5324764.842342874</v>
      </c>
      <c r="K40" s="15">
        <f t="shared" si="14"/>
        <v>4868805.1317586359</v>
      </c>
      <c r="L40" s="15">
        <f t="shared" si="14"/>
        <v>4508806.0865773261</v>
      </c>
      <c r="M40" s="15">
        <f t="shared" si="14"/>
        <v>4303924.6873770664</v>
      </c>
      <c r="N40" s="15">
        <f t="shared" si="14"/>
        <v>4543107.8908189619</v>
      </c>
      <c r="O40" s="15">
        <f t="shared" si="14"/>
        <v>4526598.9290331099</v>
      </c>
      <c r="P40" s="15">
        <f t="shared" si="14"/>
        <v>4364090.206188092</v>
      </c>
      <c r="Q40" s="15">
        <f t="shared" si="14"/>
        <v>4378485.6973422458</v>
      </c>
      <c r="R40" s="15">
        <f t="shared" si="14"/>
        <v>4405142.3315725885</v>
      </c>
      <c r="S40" s="15">
        <f t="shared" si="14"/>
        <v>4439036.3906613169</v>
      </c>
      <c r="T40" s="15">
        <f t="shared" si="14"/>
        <v>5447077.6365039507</v>
      </c>
    </row>
    <row r="41" spans="4:20" s="6" customFormat="1" ht="20.399999999999999" x14ac:dyDescent="0.25">
      <c r="D41" s="8" t="s">
        <v>46</v>
      </c>
      <c r="E41" s="13">
        <f t="shared" si="1"/>
        <v>2437042</v>
      </c>
      <c r="F41" s="26">
        <f>SUM(F42:F47)</f>
        <v>4737239</v>
      </c>
      <c r="G41" s="19"/>
      <c r="H41" s="31">
        <v>2300197</v>
      </c>
      <c r="I41" s="15">
        <f t="shared" ref="I41:T41" si="15">SUM(I42:I47)</f>
        <v>714067.04116134555</v>
      </c>
      <c r="J41" s="15">
        <f t="shared" si="15"/>
        <v>631380.12351200043</v>
      </c>
      <c r="K41" s="15">
        <f t="shared" si="15"/>
        <v>496107.7804261925</v>
      </c>
      <c r="L41" s="15">
        <f t="shared" si="15"/>
        <v>331032.00552266656</v>
      </c>
      <c r="M41" s="15">
        <f t="shared" si="15"/>
        <v>320636.33330993645</v>
      </c>
      <c r="N41" s="15">
        <f t="shared" si="15"/>
        <v>385585.94740883255</v>
      </c>
      <c r="O41" s="15">
        <f t="shared" si="15"/>
        <v>236248.27263517649</v>
      </c>
      <c r="P41" s="15">
        <f t="shared" si="15"/>
        <v>174974.01014540048</v>
      </c>
      <c r="Q41" s="15">
        <f t="shared" si="15"/>
        <v>304743.85080133646</v>
      </c>
      <c r="R41" s="15">
        <f t="shared" si="15"/>
        <v>258880.30175232847</v>
      </c>
      <c r="S41" s="15">
        <f t="shared" si="15"/>
        <v>377115.55190653651</v>
      </c>
      <c r="T41" s="15">
        <f t="shared" si="15"/>
        <v>506467.78180316056</v>
      </c>
    </row>
    <row r="42" spans="4:20" s="6" customFormat="1" ht="10.199999999999999" x14ac:dyDescent="0.2">
      <c r="D42" s="9" t="s">
        <v>47</v>
      </c>
      <c r="E42" s="13">
        <f t="shared" si="1"/>
        <v>3.2372539862990379E-3</v>
      </c>
      <c r="F42" s="28">
        <v>2035691</v>
      </c>
      <c r="G42" s="18"/>
      <c r="H42" s="33">
        <f>SUM(I42:T42)</f>
        <v>2035690.996762746</v>
      </c>
      <c r="I42" s="17">
        <v>398078.446352934</v>
      </c>
      <c r="J42" s="17">
        <v>322470.81330933399</v>
      </c>
      <c r="K42" s="17">
        <v>279776.78666933399</v>
      </c>
      <c r="L42" s="17">
        <v>114217.49</v>
      </c>
      <c r="M42" s="17">
        <v>109837.12664327001</v>
      </c>
      <c r="N42" s="17">
        <v>123064.147554166</v>
      </c>
      <c r="O42" s="17">
        <v>78061.161336510006</v>
      </c>
      <c r="P42" s="17">
        <v>43444.585532341996</v>
      </c>
      <c r="Q42" s="17">
        <v>121567.761256998</v>
      </c>
      <c r="R42" s="17">
        <v>90441.351367494004</v>
      </c>
      <c r="S42" s="17">
        <v>127091.897231166</v>
      </c>
      <c r="T42" s="17">
        <v>227639.429509198</v>
      </c>
    </row>
    <row r="43" spans="4:20" s="6" customFormat="1" ht="10.199999999999999" x14ac:dyDescent="0.2">
      <c r="D43" s="9" t="s">
        <v>48</v>
      </c>
      <c r="E43" s="13">
        <f t="shared" si="1"/>
        <v>8.149072527885437E-10</v>
      </c>
      <c r="F43" s="28">
        <v>264506</v>
      </c>
      <c r="G43" s="18"/>
      <c r="H43" s="33">
        <f t="shared" ref="H43:H47" si="16">SUM(I43:T43)</f>
        <v>264505.99999999919</v>
      </c>
      <c r="I43" s="17">
        <v>22042.166666666599</v>
      </c>
      <c r="J43" s="17">
        <v>22042.166666666599</v>
      </c>
      <c r="K43" s="17">
        <v>22042.166666666599</v>
      </c>
      <c r="L43" s="17">
        <v>22042.166666666599</v>
      </c>
      <c r="M43" s="17">
        <v>22042.166666666599</v>
      </c>
      <c r="N43" s="17">
        <v>22042.166666666599</v>
      </c>
      <c r="O43" s="17">
        <v>22042.166666666599</v>
      </c>
      <c r="P43" s="17">
        <v>22042.166666666599</v>
      </c>
      <c r="Q43" s="17">
        <v>22042.166666666599</v>
      </c>
      <c r="R43" s="17">
        <v>22042.166666666599</v>
      </c>
      <c r="S43" s="17">
        <v>22042.166666666599</v>
      </c>
      <c r="T43" s="17">
        <v>22042.166666666599</v>
      </c>
    </row>
    <row r="44" spans="4:20" s="6" customFormat="1" ht="10.199999999999999" x14ac:dyDescent="0.2">
      <c r="D44" s="9" t="s">
        <v>49</v>
      </c>
      <c r="E44" s="13">
        <f t="shared" si="1"/>
        <v>0</v>
      </c>
      <c r="F44" s="28">
        <v>0</v>
      </c>
      <c r="G44" s="18"/>
      <c r="H44" s="33">
        <f t="shared" si="16"/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</row>
    <row r="45" spans="4:20" s="6" customFormat="1" ht="10.199999999999999" x14ac:dyDescent="0.2">
      <c r="D45" s="9" t="s">
        <v>50</v>
      </c>
      <c r="E45" s="13">
        <f t="shared" si="1"/>
        <v>-3.6221691407263279E-3</v>
      </c>
      <c r="F45" s="28">
        <v>1552144</v>
      </c>
      <c r="G45" s="18"/>
      <c r="H45" s="33">
        <f t="shared" si="16"/>
        <v>1552144.0036221691</v>
      </c>
      <c r="I45" s="17">
        <v>220204.92814174501</v>
      </c>
      <c r="J45" s="17">
        <v>213125.64353599999</v>
      </c>
      <c r="K45" s="17">
        <v>120547.327090192</v>
      </c>
      <c r="L45" s="17">
        <v>121030.848856</v>
      </c>
      <c r="M45" s="17">
        <v>115015.54</v>
      </c>
      <c r="N45" s="17">
        <v>166738.13318800001</v>
      </c>
      <c r="O45" s="17">
        <v>62403.444631999999</v>
      </c>
      <c r="P45" s="17">
        <v>35745.757946391997</v>
      </c>
      <c r="Q45" s="17">
        <v>87392.422877671997</v>
      </c>
      <c r="R45" s="17">
        <v>72655.283718167993</v>
      </c>
      <c r="S45" s="17">
        <v>154239.98800870401</v>
      </c>
      <c r="T45" s="17">
        <v>183044.68562729601</v>
      </c>
    </row>
    <row r="46" spans="4:20" s="6" customFormat="1" ht="10.199999999999999" x14ac:dyDescent="0.2">
      <c r="D46" s="9" t="s">
        <v>51</v>
      </c>
      <c r="E46" s="13">
        <f t="shared" si="1"/>
        <v>8.0035533756017685E-10</v>
      </c>
      <c r="F46" s="28">
        <v>124370</v>
      </c>
      <c r="G46" s="18"/>
      <c r="H46" s="33">
        <f t="shared" si="16"/>
        <v>124369.9999999992</v>
      </c>
      <c r="I46" s="17">
        <v>10364.166666666601</v>
      </c>
      <c r="J46" s="17">
        <v>10364.166666666601</v>
      </c>
      <c r="K46" s="17">
        <v>10364.166666666601</v>
      </c>
      <c r="L46" s="17">
        <v>10364.166666666601</v>
      </c>
      <c r="M46" s="17">
        <v>10364.166666666601</v>
      </c>
      <c r="N46" s="17">
        <v>10364.166666666601</v>
      </c>
      <c r="O46" s="17">
        <v>10364.166666666601</v>
      </c>
      <c r="P46" s="17">
        <v>10364.166666666601</v>
      </c>
      <c r="Q46" s="17">
        <v>10364.166666666601</v>
      </c>
      <c r="R46" s="17">
        <v>10364.166666666601</v>
      </c>
      <c r="S46" s="17">
        <v>10364.166666666601</v>
      </c>
      <c r="T46" s="17">
        <v>10364.166666666601</v>
      </c>
    </row>
    <row r="47" spans="4:20" s="6" customFormat="1" ht="10.199999999999999" x14ac:dyDescent="0.2">
      <c r="D47" s="9" t="s">
        <v>52</v>
      </c>
      <c r="E47" s="13">
        <f t="shared" si="1"/>
        <v>0</v>
      </c>
      <c r="F47" s="27">
        <v>760528</v>
      </c>
      <c r="G47" s="18"/>
      <c r="H47" s="33">
        <f t="shared" si="16"/>
        <v>760527.99999999953</v>
      </c>
      <c r="I47" s="16">
        <v>63377.333333333299</v>
      </c>
      <c r="J47" s="16">
        <v>63377.333333333299</v>
      </c>
      <c r="K47" s="16">
        <v>63377.333333333299</v>
      </c>
      <c r="L47" s="16">
        <v>63377.333333333299</v>
      </c>
      <c r="M47" s="16">
        <v>63377.333333333299</v>
      </c>
      <c r="N47" s="16">
        <v>63377.333333333299</v>
      </c>
      <c r="O47" s="16">
        <v>63377.333333333299</v>
      </c>
      <c r="P47" s="16">
        <v>63377.333333333299</v>
      </c>
      <c r="Q47" s="16">
        <v>63377.333333333299</v>
      </c>
      <c r="R47" s="16">
        <v>63377.333333333299</v>
      </c>
      <c r="S47" s="16">
        <v>63377.333333333299</v>
      </c>
      <c r="T47" s="16">
        <v>63377.333333333299</v>
      </c>
    </row>
    <row r="48" spans="4:20" s="6" customFormat="1" ht="10.199999999999999" x14ac:dyDescent="0.25">
      <c r="D48" s="8" t="s">
        <v>53</v>
      </c>
      <c r="E48" s="13">
        <f t="shared" si="1"/>
        <v>-1.3396330177783966E-3</v>
      </c>
      <c r="F48" s="26">
        <f>SUM(F49:F52)</f>
        <v>9722926</v>
      </c>
      <c r="G48" s="18"/>
      <c r="H48" s="31">
        <f>SUM(H49:H52)</f>
        <v>9722926.001339633</v>
      </c>
      <c r="I48" s="15">
        <f t="shared" ref="I48:T48" si="17">SUM(I49:I52)</f>
        <v>1010419.9487458367</v>
      </c>
      <c r="J48" s="15">
        <f t="shared" si="17"/>
        <v>1029557.3670041866</v>
      </c>
      <c r="K48" s="15">
        <f t="shared" si="17"/>
        <v>814245.70536365057</v>
      </c>
      <c r="L48" s="15">
        <f t="shared" si="17"/>
        <v>703473.20058666682</v>
      </c>
      <c r="M48" s="15">
        <f t="shared" si="17"/>
        <v>655248.16427222663</v>
      </c>
      <c r="N48" s="15">
        <f t="shared" si="17"/>
        <v>621667.00000346662</v>
      </c>
      <c r="O48" s="15">
        <f t="shared" si="17"/>
        <v>780214.73390011466</v>
      </c>
      <c r="P48" s="15">
        <f t="shared" si="17"/>
        <v>685714.57041069865</v>
      </c>
      <c r="Q48" s="15">
        <f t="shared" si="17"/>
        <v>742531.5436306668</v>
      </c>
      <c r="R48" s="15">
        <f t="shared" si="17"/>
        <v>723871.8301746666</v>
      </c>
      <c r="S48" s="15">
        <f t="shared" si="17"/>
        <v>728358.05339866667</v>
      </c>
      <c r="T48" s="15">
        <f t="shared" si="17"/>
        <v>1227623.8838487868</v>
      </c>
    </row>
    <row r="49" spans="4:20" s="6" customFormat="1" ht="10.199999999999999" x14ac:dyDescent="0.25">
      <c r="D49" s="9" t="s">
        <v>49</v>
      </c>
      <c r="E49" s="13">
        <f t="shared" si="1"/>
        <v>0</v>
      </c>
      <c r="F49" s="27">
        <v>1704399</v>
      </c>
      <c r="G49" s="18"/>
      <c r="H49" s="32">
        <f>SUM(I49:T49)</f>
        <v>1704399</v>
      </c>
      <c r="I49" s="16">
        <v>142033.25</v>
      </c>
      <c r="J49" s="16">
        <v>142033.25</v>
      </c>
      <c r="K49" s="16">
        <v>142033.25</v>
      </c>
      <c r="L49" s="16">
        <v>142033.25</v>
      </c>
      <c r="M49" s="16">
        <v>142033.25</v>
      </c>
      <c r="N49" s="16">
        <v>142033.25</v>
      </c>
      <c r="O49" s="16">
        <v>142033.25</v>
      </c>
      <c r="P49" s="16">
        <v>142033.25</v>
      </c>
      <c r="Q49" s="16">
        <v>142033.25</v>
      </c>
      <c r="R49" s="16">
        <v>142033.25</v>
      </c>
      <c r="S49" s="16">
        <v>142033.25</v>
      </c>
      <c r="T49" s="16">
        <v>142033.25</v>
      </c>
    </row>
    <row r="50" spans="4:20" s="6" customFormat="1" ht="10.199999999999999" x14ac:dyDescent="0.25">
      <c r="D50" s="9" t="s">
        <v>54</v>
      </c>
      <c r="E50" s="13">
        <f t="shared" si="1"/>
        <v>0</v>
      </c>
      <c r="F50" s="27">
        <v>1000</v>
      </c>
      <c r="G50" s="18"/>
      <c r="H50" s="32">
        <f t="shared" ref="H50:H52" si="18">SUM(I50:T50)</f>
        <v>999.99999999999943</v>
      </c>
      <c r="I50" s="16">
        <v>83.3333333333333</v>
      </c>
      <c r="J50" s="16">
        <v>83.3333333333333</v>
      </c>
      <c r="K50" s="16">
        <v>83.3333333333333</v>
      </c>
      <c r="L50" s="16">
        <v>83.3333333333333</v>
      </c>
      <c r="M50" s="16">
        <v>83.3333333333333</v>
      </c>
      <c r="N50" s="16">
        <v>83.3333333333333</v>
      </c>
      <c r="O50" s="16">
        <v>83.3333333333333</v>
      </c>
      <c r="P50" s="16">
        <v>83.3333333333333</v>
      </c>
      <c r="Q50" s="16">
        <v>83.3333333333333</v>
      </c>
      <c r="R50" s="16">
        <v>83.3333333333333</v>
      </c>
      <c r="S50" s="16">
        <v>83.3333333333333</v>
      </c>
      <c r="T50" s="16">
        <v>83.3333333333333</v>
      </c>
    </row>
    <row r="51" spans="4:20" s="6" customFormat="1" ht="10.199999999999999" x14ac:dyDescent="0.25">
      <c r="D51" s="9" t="s">
        <v>55</v>
      </c>
      <c r="E51" s="13">
        <f t="shared" si="1"/>
        <v>0</v>
      </c>
      <c r="F51" s="27">
        <v>1000</v>
      </c>
      <c r="G51" s="18"/>
      <c r="H51" s="32">
        <f t="shared" si="18"/>
        <v>999.99999999999943</v>
      </c>
      <c r="I51" s="16">
        <v>83.3333333333333</v>
      </c>
      <c r="J51" s="16">
        <v>83.3333333333333</v>
      </c>
      <c r="K51" s="16">
        <v>83.3333333333333</v>
      </c>
      <c r="L51" s="16">
        <v>83.3333333333333</v>
      </c>
      <c r="M51" s="16">
        <v>83.3333333333333</v>
      </c>
      <c r="N51" s="16">
        <v>83.3333333333333</v>
      </c>
      <c r="O51" s="16">
        <v>83.3333333333333</v>
      </c>
      <c r="P51" s="16">
        <v>83.3333333333333</v>
      </c>
      <c r="Q51" s="16">
        <v>83.3333333333333</v>
      </c>
      <c r="R51" s="16">
        <v>83.3333333333333</v>
      </c>
      <c r="S51" s="16">
        <v>83.3333333333333</v>
      </c>
      <c r="T51" s="16">
        <v>83.3333333333333</v>
      </c>
    </row>
    <row r="52" spans="4:20" s="6" customFormat="1" ht="10.199999999999999" x14ac:dyDescent="0.25">
      <c r="D52" s="9" t="s">
        <v>52</v>
      </c>
      <c r="E52" s="13">
        <f t="shared" si="1"/>
        <v>-1.3396330177783966E-3</v>
      </c>
      <c r="F52" s="27">
        <v>8016527</v>
      </c>
      <c r="G52" s="18"/>
      <c r="H52" s="32">
        <f t="shared" si="18"/>
        <v>8016527.001339633</v>
      </c>
      <c r="I52" s="16">
        <v>868220.03207916999</v>
      </c>
      <c r="J52" s="16">
        <v>887357.45033751999</v>
      </c>
      <c r="K52" s="16">
        <v>672045.78869698395</v>
      </c>
      <c r="L52" s="16">
        <v>561273.28392000007</v>
      </c>
      <c r="M52" s="16">
        <v>513048.24760556</v>
      </c>
      <c r="N52" s="16">
        <v>479467.08333679999</v>
      </c>
      <c r="O52" s="16">
        <v>638014.81723344803</v>
      </c>
      <c r="P52" s="16">
        <v>543514.65374403202</v>
      </c>
      <c r="Q52" s="16">
        <v>600331.62696400005</v>
      </c>
      <c r="R52" s="16">
        <v>581671.91350799997</v>
      </c>
      <c r="S52" s="16">
        <v>586158.13673200004</v>
      </c>
      <c r="T52" s="16">
        <v>1085423.9671821201</v>
      </c>
    </row>
    <row r="53" spans="4:20" s="6" customFormat="1" ht="10.199999999999999" x14ac:dyDescent="0.25">
      <c r="D53" s="8" t="s">
        <v>56</v>
      </c>
      <c r="E53" s="13">
        <f t="shared" si="1"/>
        <v>2.1088868379592896E-3</v>
      </c>
      <c r="F53" s="26">
        <f>SUM(F54:F63)</f>
        <v>41498174</v>
      </c>
      <c r="G53" s="18"/>
      <c r="H53" s="31">
        <f>SUM(H54:H63)</f>
        <v>41498173.997891113</v>
      </c>
      <c r="I53" s="15">
        <f t="shared" ref="I53:T53" si="19">SUM(I54:I63)</f>
        <v>3894264.2628656458</v>
      </c>
      <c r="J53" s="15">
        <f t="shared" si="19"/>
        <v>3593804.4351600199</v>
      </c>
      <c r="K53" s="15">
        <f t="shared" si="19"/>
        <v>3488428.7293021255</v>
      </c>
      <c r="L53" s="15">
        <f t="shared" si="19"/>
        <v>3404277.9638013258</v>
      </c>
      <c r="M53" s="15">
        <f t="shared" si="19"/>
        <v>3258017.2731282362</v>
      </c>
      <c r="N53" s="15">
        <f t="shared" si="19"/>
        <v>3465832.0267399959</v>
      </c>
      <c r="O53" s="15">
        <f t="shared" si="19"/>
        <v>3440113.0058311517</v>
      </c>
      <c r="P53" s="15">
        <f t="shared" si="19"/>
        <v>3433378.7089653262</v>
      </c>
      <c r="Q53" s="15">
        <f t="shared" si="19"/>
        <v>3261187.3862435757</v>
      </c>
      <c r="R53" s="15">
        <f t="shared" si="19"/>
        <v>3352367.2829789263</v>
      </c>
      <c r="S53" s="15">
        <f t="shared" si="19"/>
        <v>3263539.8686894462</v>
      </c>
      <c r="T53" s="15">
        <f t="shared" si="19"/>
        <v>3642963.0541853365</v>
      </c>
    </row>
    <row r="54" spans="4:20" s="6" customFormat="1" ht="10.199999999999999" x14ac:dyDescent="0.25">
      <c r="D54" s="9" t="s">
        <v>47</v>
      </c>
      <c r="E54" s="13">
        <f t="shared" si="1"/>
        <v>7.9162418842315674E-9</v>
      </c>
      <c r="F54" s="27">
        <v>4058339</v>
      </c>
      <c r="G54" s="18"/>
      <c r="H54" s="32">
        <f>SUM(I54:T54)</f>
        <v>4058338.9999999921</v>
      </c>
      <c r="I54" s="16">
        <v>338194.91666666599</v>
      </c>
      <c r="J54" s="16">
        <v>338194.91666666599</v>
      </c>
      <c r="K54" s="16">
        <v>338194.91666666599</v>
      </c>
      <c r="L54" s="16">
        <v>338194.91666666599</v>
      </c>
      <c r="M54" s="16">
        <v>338194.91666666599</v>
      </c>
      <c r="N54" s="16">
        <v>338194.91666666599</v>
      </c>
      <c r="O54" s="16">
        <v>338194.91666666599</v>
      </c>
      <c r="P54" s="16">
        <v>338194.91666666599</v>
      </c>
      <c r="Q54" s="16">
        <v>338194.91666666599</v>
      </c>
      <c r="R54" s="16">
        <v>338194.91666666599</v>
      </c>
      <c r="S54" s="16">
        <v>338194.91666666599</v>
      </c>
      <c r="T54" s="16">
        <v>338194.91666666599</v>
      </c>
    </row>
    <row r="55" spans="4:20" s="6" customFormat="1" ht="10.199999999999999" x14ac:dyDescent="0.25">
      <c r="D55" s="9" t="s">
        <v>49</v>
      </c>
      <c r="E55" s="13">
        <f t="shared" si="1"/>
        <v>-2.2895997390151024E-3</v>
      </c>
      <c r="F55" s="27">
        <v>3412268</v>
      </c>
      <c r="G55" s="18"/>
      <c r="H55" s="32">
        <f t="shared" ref="H55:H63" si="20">SUM(I55:T55)</f>
        <v>3412268.0022895997</v>
      </c>
      <c r="I55" s="16">
        <v>469297.67257171997</v>
      </c>
      <c r="J55" s="16">
        <v>321317.715330504</v>
      </c>
      <c r="K55" s="16">
        <v>267533.01303199999</v>
      </c>
      <c r="L55" s="16">
        <v>206489.10363999999</v>
      </c>
      <c r="M55" s="16">
        <v>276381.87402799999</v>
      </c>
      <c r="N55" s="16">
        <v>258209.28485200001</v>
      </c>
      <c r="O55" s="16">
        <v>223883.94980165601</v>
      </c>
      <c r="P55" s="16">
        <v>264571.32909200003</v>
      </c>
      <c r="Q55" s="16">
        <v>236821.501448</v>
      </c>
      <c r="R55" s="16">
        <v>290032.96586960001</v>
      </c>
      <c r="S55" s="16">
        <v>266803.95575612003</v>
      </c>
      <c r="T55" s="16">
        <v>330925.63686800003</v>
      </c>
    </row>
    <row r="56" spans="4:20" s="6" customFormat="1" ht="10.199999999999999" x14ac:dyDescent="0.25">
      <c r="D56" s="9" t="s">
        <v>48</v>
      </c>
      <c r="E56" s="13">
        <f t="shared" si="1"/>
        <v>0</v>
      </c>
      <c r="F56" s="27">
        <v>3339135</v>
      </c>
      <c r="G56" s="18"/>
      <c r="H56" s="32">
        <f t="shared" si="20"/>
        <v>3339135</v>
      </c>
      <c r="I56" s="16">
        <v>278261.25</v>
      </c>
      <c r="J56" s="16">
        <v>278261.25</v>
      </c>
      <c r="K56" s="16">
        <v>278261.25</v>
      </c>
      <c r="L56" s="16">
        <v>278261.25</v>
      </c>
      <c r="M56" s="16">
        <v>278261.25</v>
      </c>
      <c r="N56" s="16">
        <v>278261.25</v>
      </c>
      <c r="O56" s="16">
        <v>278261.25</v>
      </c>
      <c r="P56" s="16">
        <v>278261.25</v>
      </c>
      <c r="Q56" s="16">
        <v>278261.25</v>
      </c>
      <c r="R56" s="16">
        <v>278261.25</v>
      </c>
      <c r="S56" s="16">
        <v>278261.25</v>
      </c>
      <c r="T56" s="16">
        <v>278261.25</v>
      </c>
    </row>
    <row r="57" spans="4:20" s="6" customFormat="1" ht="10.199999999999999" x14ac:dyDescent="0.25">
      <c r="D57" s="9" t="s">
        <v>57</v>
      </c>
      <c r="E57" s="13">
        <f t="shared" si="1"/>
        <v>0</v>
      </c>
      <c r="F57" s="27">
        <v>0</v>
      </c>
      <c r="G57" s="18"/>
      <c r="H57" s="32">
        <f t="shared" si="20"/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4:20" s="6" customFormat="1" ht="10.199999999999999" x14ac:dyDescent="0.25">
      <c r="D58" s="9" t="s">
        <v>58</v>
      </c>
      <c r="E58" s="13">
        <f t="shared" si="1"/>
        <v>-1.2400001287460327E-3</v>
      </c>
      <c r="F58" s="27">
        <v>322573</v>
      </c>
      <c r="G58" s="18"/>
      <c r="H58" s="32">
        <f t="shared" si="20"/>
        <v>322573.00124000013</v>
      </c>
      <c r="I58" s="16">
        <v>33475.077268000001</v>
      </c>
      <c r="J58" s="16">
        <v>22047.089612</v>
      </c>
      <c r="K58" s="16">
        <v>23350.688303999999</v>
      </c>
      <c r="L58" s="16">
        <v>23188.512432</v>
      </c>
      <c r="M58" s="16">
        <v>32007.371736000001</v>
      </c>
      <c r="N58" s="16">
        <v>22778.139488000001</v>
      </c>
      <c r="O58" s="16">
        <v>28208.984376</v>
      </c>
      <c r="P58" s="16">
        <v>13414.006388</v>
      </c>
      <c r="Q58" s="16">
        <v>38035.705564000098</v>
      </c>
      <c r="R58" s="16">
        <v>26991.713159999999</v>
      </c>
      <c r="S58" s="16">
        <v>30814.826936000001</v>
      </c>
      <c r="T58" s="16">
        <v>28260.885976000001</v>
      </c>
    </row>
    <row r="59" spans="4:20" s="6" customFormat="1" ht="10.199999999999999" x14ac:dyDescent="0.25">
      <c r="D59" s="9" t="s">
        <v>59</v>
      </c>
      <c r="E59" s="13">
        <f t="shared" si="1"/>
        <v>4.7024786472320557E-3</v>
      </c>
      <c r="F59" s="27">
        <v>21413537</v>
      </c>
      <c r="G59" s="18"/>
      <c r="H59" s="32">
        <f t="shared" si="20"/>
        <v>21413536.995297521</v>
      </c>
      <c r="I59" s="16">
        <v>1982942.1398624601</v>
      </c>
      <c r="J59" s="16">
        <v>1825267.12860685</v>
      </c>
      <c r="K59" s="16">
        <v>1763655.5815266599</v>
      </c>
      <c r="L59" s="16">
        <v>1821662.86368266</v>
      </c>
      <c r="M59" s="16">
        <v>1633992.97340157</v>
      </c>
      <c r="N59" s="16">
        <v>1855882.0144573301</v>
      </c>
      <c r="O59" s="16">
        <v>1775586.0453548301</v>
      </c>
      <c r="P59" s="16">
        <v>1776890.5054266599</v>
      </c>
      <c r="Q59" s="16">
        <v>1649673.5825905099</v>
      </c>
      <c r="R59" s="16">
        <v>1638433.0853386601</v>
      </c>
      <c r="S59" s="16">
        <v>1719394.0872386601</v>
      </c>
      <c r="T59" s="16">
        <v>1970156.9878106699</v>
      </c>
    </row>
    <row r="60" spans="4:20" s="6" customFormat="1" ht="10.199999999999999" x14ac:dyDescent="0.25">
      <c r="D60" s="9" t="s">
        <v>60</v>
      </c>
      <c r="E60" s="13">
        <f t="shared" si="1"/>
        <v>9.3599967658519745E-4</v>
      </c>
      <c r="F60" s="27">
        <v>4768084</v>
      </c>
      <c r="G60" s="18"/>
      <c r="H60" s="32">
        <f t="shared" si="20"/>
        <v>4768083.9990640003</v>
      </c>
      <c r="I60" s="16">
        <v>443406.7064968</v>
      </c>
      <c r="J60" s="16">
        <v>460029.834944</v>
      </c>
      <c r="K60" s="16">
        <v>468746.77977279999</v>
      </c>
      <c r="L60" s="16">
        <v>387794.81738000002</v>
      </c>
      <c r="M60" s="16">
        <v>350492.38729599997</v>
      </c>
      <c r="N60" s="16">
        <v>363819.92127599998</v>
      </c>
      <c r="O60" s="16">
        <v>447291.35963199998</v>
      </c>
      <c r="P60" s="16">
        <v>413360.20139200002</v>
      </c>
      <c r="Q60" s="16">
        <v>371513.92997439997</v>
      </c>
      <c r="R60" s="16">
        <v>431766.85194400005</v>
      </c>
      <c r="S60" s="16">
        <v>281384.332092</v>
      </c>
      <c r="T60" s="16">
        <v>348476.87686400005</v>
      </c>
    </row>
    <row r="61" spans="4:20" s="6" customFormat="1" ht="10.199999999999999" x14ac:dyDescent="0.25">
      <c r="D61" s="9" t="s">
        <v>61</v>
      </c>
      <c r="E61" s="13">
        <f t="shared" si="1"/>
        <v>0</v>
      </c>
      <c r="F61" s="27">
        <v>1000</v>
      </c>
      <c r="G61" s="18"/>
      <c r="H61" s="32">
        <f t="shared" si="20"/>
        <v>999.99999999999943</v>
      </c>
      <c r="I61" s="16">
        <v>83.3333333333333</v>
      </c>
      <c r="J61" s="16">
        <v>83.3333333333333</v>
      </c>
      <c r="K61" s="16">
        <v>83.3333333333333</v>
      </c>
      <c r="L61" s="16">
        <v>83.3333333333333</v>
      </c>
      <c r="M61" s="16">
        <v>83.3333333333333</v>
      </c>
      <c r="N61" s="16">
        <v>83.3333333333333</v>
      </c>
      <c r="O61" s="16">
        <v>83.3333333333333</v>
      </c>
      <c r="P61" s="16">
        <v>83.3333333333333</v>
      </c>
      <c r="Q61" s="16">
        <v>83.3333333333333</v>
      </c>
      <c r="R61" s="16">
        <v>83.3333333333333</v>
      </c>
      <c r="S61" s="16">
        <v>83.3333333333333</v>
      </c>
      <c r="T61" s="16">
        <v>83.3333333333333</v>
      </c>
    </row>
    <row r="62" spans="4:20" s="6" customFormat="1" ht="10.199999999999999" x14ac:dyDescent="0.25">
      <c r="D62" s="9" t="s">
        <v>50</v>
      </c>
      <c r="E62" s="13">
        <f t="shared" si="1"/>
        <v>0</v>
      </c>
      <c r="F62" s="27">
        <v>682721</v>
      </c>
      <c r="G62" s="18"/>
      <c r="H62" s="32">
        <f t="shared" si="20"/>
        <v>682720.99999999942</v>
      </c>
      <c r="I62" s="16">
        <v>56893.416666666599</v>
      </c>
      <c r="J62" s="16">
        <v>56893.416666666599</v>
      </c>
      <c r="K62" s="16">
        <v>56893.416666666599</v>
      </c>
      <c r="L62" s="16">
        <v>56893.416666666599</v>
      </c>
      <c r="M62" s="16">
        <v>56893.416666666599</v>
      </c>
      <c r="N62" s="16">
        <v>56893.416666666599</v>
      </c>
      <c r="O62" s="16">
        <v>56893.416666666599</v>
      </c>
      <c r="P62" s="16">
        <v>56893.416666666599</v>
      </c>
      <c r="Q62" s="16">
        <v>56893.416666666599</v>
      </c>
      <c r="R62" s="16">
        <v>56893.416666666599</v>
      </c>
      <c r="S62" s="16">
        <v>56893.416666666599</v>
      </c>
      <c r="T62" s="16">
        <v>56893.416666666599</v>
      </c>
    </row>
    <row r="63" spans="4:20" s="6" customFormat="1" ht="10.199999999999999" x14ac:dyDescent="0.25">
      <c r="D63" s="9" t="s">
        <v>62</v>
      </c>
      <c r="E63" s="13">
        <f t="shared" si="1"/>
        <v>0</v>
      </c>
      <c r="F63" s="27">
        <v>3500517</v>
      </c>
      <c r="G63" s="18"/>
      <c r="H63" s="32">
        <f t="shared" si="20"/>
        <v>3500517</v>
      </c>
      <c r="I63" s="16">
        <v>291709.75</v>
      </c>
      <c r="J63" s="16">
        <v>291709.75</v>
      </c>
      <c r="K63" s="16">
        <v>291709.75</v>
      </c>
      <c r="L63" s="16">
        <v>291709.75</v>
      </c>
      <c r="M63" s="16">
        <v>291709.75</v>
      </c>
      <c r="N63" s="16">
        <v>291709.75</v>
      </c>
      <c r="O63" s="16">
        <v>291709.75</v>
      </c>
      <c r="P63" s="16">
        <v>291709.75</v>
      </c>
      <c r="Q63" s="16">
        <v>291709.75</v>
      </c>
      <c r="R63" s="16">
        <v>291709.75</v>
      </c>
      <c r="S63" s="16">
        <v>291709.75</v>
      </c>
      <c r="T63" s="16">
        <v>291709.75</v>
      </c>
    </row>
    <row r="64" spans="4:20" s="6" customFormat="1" ht="10.199999999999999" x14ac:dyDescent="0.25">
      <c r="D64" s="8" t="s">
        <v>63</v>
      </c>
      <c r="E64" s="13">
        <f t="shared" si="1"/>
        <v>0</v>
      </c>
      <c r="F64" s="26">
        <f>SUM(F65:F68)</f>
        <v>840275</v>
      </c>
      <c r="G64" s="18"/>
      <c r="H64" s="31">
        <f>SUM(H65:H68)</f>
        <v>840274.99999999942</v>
      </c>
      <c r="I64" s="15">
        <f t="shared" ref="I64:T64" si="21">SUM(I65:I68)</f>
        <v>70022.916666666599</v>
      </c>
      <c r="J64" s="15">
        <f t="shared" si="21"/>
        <v>70022.916666666599</v>
      </c>
      <c r="K64" s="15">
        <f t="shared" si="21"/>
        <v>70022.916666666599</v>
      </c>
      <c r="L64" s="15">
        <f t="shared" si="21"/>
        <v>70022.916666666599</v>
      </c>
      <c r="M64" s="15">
        <f t="shared" si="21"/>
        <v>70022.916666666599</v>
      </c>
      <c r="N64" s="15">
        <f t="shared" si="21"/>
        <v>70022.916666666599</v>
      </c>
      <c r="O64" s="15">
        <f t="shared" si="21"/>
        <v>70022.916666666599</v>
      </c>
      <c r="P64" s="15">
        <f t="shared" si="21"/>
        <v>70022.916666666599</v>
      </c>
      <c r="Q64" s="15">
        <f t="shared" si="21"/>
        <v>70022.916666666599</v>
      </c>
      <c r="R64" s="15">
        <f t="shared" si="21"/>
        <v>70022.916666666599</v>
      </c>
      <c r="S64" s="15">
        <f t="shared" si="21"/>
        <v>70022.916666666599</v>
      </c>
      <c r="T64" s="15">
        <f t="shared" si="21"/>
        <v>70022.916666666599</v>
      </c>
    </row>
    <row r="65" spans="4:20" s="6" customFormat="1" ht="10.199999999999999" x14ac:dyDescent="0.25">
      <c r="D65" s="9" t="s">
        <v>29</v>
      </c>
      <c r="E65" s="13">
        <f t="shared" si="1"/>
        <v>0</v>
      </c>
      <c r="F65" s="27">
        <v>840275</v>
      </c>
      <c r="G65" s="18"/>
      <c r="H65" s="32">
        <f>SUM(I65:T65)</f>
        <v>840274.99999999942</v>
      </c>
      <c r="I65" s="16">
        <v>70022.916666666599</v>
      </c>
      <c r="J65" s="16">
        <v>70022.916666666599</v>
      </c>
      <c r="K65" s="16">
        <v>70022.916666666599</v>
      </c>
      <c r="L65" s="16">
        <v>70022.916666666599</v>
      </c>
      <c r="M65" s="16">
        <v>70022.916666666599</v>
      </c>
      <c r="N65" s="16">
        <v>70022.916666666599</v>
      </c>
      <c r="O65" s="16">
        <v>70022.916666666599</v>
      </c>
      <c r="P65" s="16">
        <v>70022.916666666599</v>
      </c>
      <c r="Q65" s="16">
        <v>70022.916666666599</v>
      </c>
      <c r="R65" s="16">
        <v>70022.916666666599</v>
      </c>
      <c r="S65" s="16">
        <v>70022.916666666599</v>
      </c>
      <c r="T65" s="16">
        <v>70022.916666666599</v>
      </c>
    </row>
    <row r="66" spans="4:20" s="6" customFormat="1" ht="10.199999999999999" x14ac:dyDescent="0.25">
      <c r="D66" s="9" t="s">
        <v>30</v>
      </c>
      <c r="E66" s="13">
        <f t="shared" si="1"/>
        <v>0</v>
      </c>
      <c r="F66" s="27">
        <v>0</v>
      </c>
      <c r="G66" s="18"/>
      <c r="H66" s="32">
        <f t="shared" ref="H66:H68" si="22">SUM(I66:T66)</f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</row>
    <row r="67" spans="4:20" s="6" customFormat="1" ht="10.199999999999999" x14ac:dyDescent="0.25">
      <c r="D67" s="9" t="s">
        <v>31</v>
      </c>
      <c r="E67" s="13">
        <f t="shared" si="1"/>
        <v>0</v>
      </c>
      <c r="F67" s="27">
        <v>0</v>
      </c>
      <c r="G67" s="18"/>
      <c r="H67" s="32">
        <f t="shared" si="22"/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</row>
    <row r="68" spans="4:20" s="6" customFormat="1" ht="10.199999999999999" x14ac:dyDescent="0.25">
      <c r="D68" s="9" t="s">
        <v>32</v>
      </c>
      <c r="E68" s="13">
        <f t="shared" si="1"/>
        <v>0</v>
      </c>
      <c r="F68" s="27">
        <v>0</v>
      </c>
      <c r="G68" s="18"/>
      <c r="H68" s="32">
        <f t="shared" si="22"/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</row>
    <row r="69" spans="4:20" s="6" customFormat="1" ht="20.399999999999999" x14ac:dyDescent="0.25">
      <c r="D69" s="11" t="s">
        <v>64</v>
      </c>
      <c r="E69" s="13">
        <f t="shared" si="1"/>
        <v>0</v>
      </c>
      <c r="F69" s="26">
        <v>0</v>
      </c>
      <c r="G69" s="18"/>
      <c r="H69" s="31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</row>
    <row r="70" spans="4:20" s="6" customFormat="1" ht="10.199999999999999" x14ac:dyDescent="0.25">
      <c r="D70" s="8" t="s">
        <v>65</v>
      </c>
      <c r="E70" s="13">
        <f t="shared" si="1"/>
        <v>-1.0056793689727783E-3</v>
      </c>
      <c r="F70" s="26">
        <f>F71+F73</f>
        <v>53792015</v>
      </c>
      <c r="G70" s="18"/>
      <c r="H70" s="31">
        <f>H71+H73</f>
        <v>53792015.001005679</v>
      </c>
      <c r="I70" s="15">
        <f t="shared" ref="I70:T70" si="23">I71+I73</f>
        <v>5070930.1302343998</v>
      </c>
      <c r="J70" s="15">
        <f t="shared" si="23"/>
        <v>5004780.3707599994</v>
      </c>
      <c r="K70" s="15">
        <f t="shared" si="23"/>
        <v>5057436.7331232</v>
      </c>
      <c r="L70" s="15">
        <f t="shared" si="23"/>
        <v>5047220.4934174083</v>
      </c>
      <c r="M70" s="15">
        <f t="shared" si="23"/>
        <v>4036528.9081468638</v>
      </c>
      <c r="N70" s="15">
        <f t="shared" si="23"/>
        <v>4675222.8462941796</v>
      </c>
      <c r="O70" s="15">
        <f t="shared" si="23"/>
        <v>4006424.5138130239</v>
      </c>
      <c r="P70" s="15">
        <f t="shared" si="23"/>
        <v>4975939.9699697997</v>
      </c>
      <c r="Q70" s="15">
        <f t="shared" si="23"/>
        <v>3966411.5645264238</v>
      </c>
      <c r="R70" s="15">
        <f t="shared" si="23"/>
        <v>3942958.146037424</v>
      </c>
      <c r="S70" s="15">
        <f t="shared" si="23"/>
        <v>3963778.29468296</v>
      </c>
      <c r="T70" s="15">
        <f t="shared" si="23"/>
        <v>4044383.03</v>
      </c>
    </row>
    <row r="71" spans="4:20" s="6" customFormat="1" ht="10.199999999999999" x14ac:dyDescent="0.25">
      <c r="D71" s="8" t="s">
        <v>66</v>
      </c>
      <c r="E71" s="13">
        <f t="shared" si="1"/>
        <v>-1.0056793689727783E-3</v>
      </c>
      <c r="F71" s="26">
        <f>SUM(F72:F72)</f>
        <v>53792015</v>
      </c>
      <c r="G71" s="18"/>
      <c r="H71" s="31">
        <f>SUM(H72:H72)</f>
        <v>53792015.001005679</v>
      </c>
      <c r="I71" s="15">
        <f t="shared" ref="I71:T71" si="24">SUM(I72:I72)</f>
        <v>5070930.1302343998</v>
      </c>
      <c r="J71" s="15">
        <f t="shared" si="24"/>
        <v>5004780.3707599994</v>
      </c>
      <c r="K71" s="15">
        <f t="shared" si="24"/>
        <v>5057436.7331232</v>
      </c>
      <c r="L71" s="15">
        <f t="shared" si="24"/>
        <v>5047220.4934174083</v>
      </c>
      <c r="M71" s="15">
        <f t="shared" si="24"/>
        <v>4036528.9081468638</v>
      </c>
      <c r="N71" s="15">
        <f t="shared" si="24"/>
        <v>4675222.8462941796</v>
      </c>
      <c r="O71" s="15">
        <f t="shared" si="24"/>
        <v>4006424.5138130239</v>
      </c>
      <c r="P71" s="15">
        <f t="shared" si="24"/>
        <v>4975939.9699697997</v>
      </c>
      <c r="Q71" s="15">
        <f t="shared" si="24"/>
        <v>3966411.5645264238</v>
      </c>
      <c r="R71" s="15">
        <f t="shared" si="24"/>
        <v>3942958.146037424</v>
      </c>
      <c r="S71" s="15">
        <f t="shared" si="24"/>
        <v>3963778.29468296</v>
      </c>
      <c r="T71" s="15">
        <f t="shared" si="24"/>
        <v>4044383.03</v>
      </c>
    </row>
    <row r="72" spans="4:20" s="6" customFormat="1" ht="10.199999999999999" x14ac:dyDescent="0.25">
      <c r="D72" s="9" t="s">
        <v>67</v>
      </c>
      <c r="E72" s="13">
        <f t="shared" si="1"/>
        <v>-1.0056793689727783E-3</v>
      </c>
      <c r="F72" s="27">
        <v>53792015</v>
      </c>
      <c r="G72" s="18"/>
      <c r="H72" s="32">
        <f>SUM(I72:T72)</f>
        <v>53792015.001005679</v>
      </c>
      <c r="I72" s="20">
        <f>529142.2552344+2040449.875+334672+166666+2000000</f>
        <v>5070930.1302343998</v>
      </c>
      <c r="J72" s="20">
        <f>462994.49576+2040449.875+334670+166666+2000000</f>
        <v>5004780.3707599994</v>
      </c>
      <c r="K72" s="20">
        <f>515650.8581232+2040449.875+334670+166666+2000000</f>
        <v>5057436.7331232</v>
      </c>
      <c r="L72" s="20">
        <f>505434.618417408+2040449.875+334670+166666+2000000</f>
        <v>5047220.4934174083</v>
      </c>
      <c r="M72" s="20">
        <f>494743.033146864+2040449.875+334670+166666+1000000</f>
        <v>4036528.9081468638</v>
      </c>
      <c r="N72" s="20">
        <f>1133436.97129418+2040449.875+334670+166666+1000000</f>
        <v>4675222.8462941796</v>
      </c>
      <c r="O72" s="20">
        <f>464638.638813024+2040449.875+334670+166666+1000000</f>
        <v>4006424.5138130239</v>
      </c>
      <c r="P72" s="20">
        <f>434154.0949698+2040449.875+334670+166666+2000000</f>
        <v>4975939.9699697997</v>
      </c>
      <c r="Q72" s="20">
        <f>424625.689526424+2040449.875+334670+166666+1000000</f>
        <v>3966411.5645264238</v>
      </c>
      <c r="R72" s="20">
        <f>401172.271037424+2040449.875+334670+166666+1000000</f>
        <v>3942958.146037424</v>
      </c>
      <c r="S72" s="20">
        <f>421992.41968296+2040449.875+334670+166666+1000000</f>
        <v>3963778.29468296</v>
      </c>
      <c r="T72" s="20">
        <v>4044383.03</v>
      </c>
    </row>
    <row r="73" spans="4:20" s="6" customFormat="1" ht="20.399999999999999" x14ac:dyDescent="0.25">
      <c r="D73" s="11" t="s">
        <v>68</v>
      </c>
      <c r="E73" s="13">
        <f t="shared" si="1"/>
        <v>0</v>
      </c>
      <c r="F73" s="26">
        <v>0</v>
      </c>
      <c r="G73" s="18"/>
      <c r="H73" s="31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</row>
    <row r="74" spans="4:20" s="6" customFormat="1" ht="10.199999999999999" x14ac:dyDescent="0.25">
      <c r="D74" s="8" t="s">
        <v>69</v>
      </c>
      <c r="E74" s="13">
        <f t="shared" ref="E74:E132" si="25">+F74-H74</f>
        <v>1.6927123069763184E-3</v>
      </c>
      <c r="F74" s="26">
        <f>F75+F76+F77+F79+F85</f>
        <v>137270304</v>
      </c>
      <c r="G74" s="18"/>
      <c r="H74" s="31">
        <f>H75+H76+H77+H79+H85</f>
        <v>137270303.99830729</v>
      </c>
      <c r="I74" s="15">
        <f t="shared" ref="I74:T74" si="26">I75+I76+I77+I79+I85</f>
        <v>11269212.557470599</v>
      </c>
      <c r="J74" s="15">
        <f t="shared" si="26"/>
        <v>11635905.237926601</v>
      </c>
      <c r="K74" s="15">
        <f t="shared" si="26"/>
        <v>11176604.6361706</v>
      </c>
      <c r="L74" s="15">
        <f t="shared" si="26"/>
        <v>10883735.384098601</v>
      </c>
      <c r="M74" s="15">
        <f t="shared" si="26"/>
        <v>11931563.5859666</v>
      </c>
      <c r="N74" s="15">
        <f t="shared" si="26"/>
        <v>12481658.668842699</v>
      </c>
      <c r="O74" s="15">
        <f t="shared" si="26"/>
        <v>10706140.3775906</v>
      </c>
      <c r="P74" s="15">
        <f t="shared" si="26"/>
        <v>10777825.1320346</v>
      </c>
      <c r="Q74" s="15">
        <f t="shared" si="26"/>
        <v>11262275.4424506</v>
      </c>
      <c r="R74" s="15">
        <f t="shared" si="26"/>
        <v>11566783.0463426</v>
      </c>
      <c r="S74" s="15">
        <f t="shared" si="26"/>
        <v>11729082.001206599</v>
      </c>
      <c r="T74" s="15">
        <f t="shared" si="26"/>
        <v>11849517.9282066</v>
      </c>
    </row>
    <row r="75" spans="4:20" s="6" customFormat="1" ht="10.199999999999999" x14ac:dyDescent="0.25">
      <c r="D75" s="9" t="s">
        <v>70</v>
      </c>
      <c r="E75" s="13">
        <f t="shared" si="25"/>
        <v>0</v>
      </c>
      <c r="F75" s="27">
        <v>0</v>
      </c>
      <c r="G75" s="18"/>
      <c r="H75" s="32">
        <f>SUM(I75:T75)</f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</row>
    <row r="76" spans="4:20" s="6" customFormat="1" ht="10.199999999999999" x14ac:dyDescent="0.25">
      <c r="D76" s="12" t="s">
        <v>71</v>
      </c>
      <c r="E76" s="13">
        <f t="shared" si="25"/>
        <v>1.6927123069763184E-3</v>
      </c>
      <c r="F76" s="26">
        <v>137270304</v>
      </c>
      <c r="G76" s="18"/>
      <c r="H76" s="31">
        <f>SUM(I76:T76)</f>
        <v>137270303.99830729</v>
      </c>
      <c r="I76" s="15">
        <v>11269212.557470599</v>
      </c>
      <c r="J76" s="15">
        <v>11635905.237926601</v>
      </c>
      <c r="K76" s="15">
        <v>11176604.6361706</v>
      </c>
      <c r="L76" s="15">
        <v>10883735.384098601</v>
      </c>
      <c r="M76" s="15">
        <v>11931563.5859666</v>
      </c>
      <c r="N76" s="15">
        <v>12481658.668842699</v>
      </c>
      <c r="O76" s="15">
        <v>10706140.3775906</v>
      </c>
      <c r="P76" s="15">
        <v>10777825.1320346</v>
      </c>
      <c r="Q76" s="15">
        <v>11262275.4424506</v>
      </c>
      <c r="R76" s="15">
        <v>11566783.0463426</v>
      </c>
      <c r="S76" s="15">
        <v>11729082.001206599</v>
      </c>
      <c r="T76" s="15">
        <v>11849517.9282066</v>
      </c>
    </row>
    <row r="77" spans="4:20" s="6" customFormat="1" ht="10.199999999999999" x14ac:dyDescent="0.25">
      <c r="D77" s="8" t="s">
        <v>72</v>
      </c>
      <c r="E77" s="13">
        <f t="shared" si="25"/>
        <v>0</v>
      </c>
      <c r="F77" s="26">
        <f>F78</f>
        <v>0</v>
      </c>
      <c r="G77" s="18"/>
      <c r="H77" s="31">
        <f>H78</f>
        <v>0</v>
      </c>
      <c r="I77" s="15">
        <f t="shared" ref="I77:T77" si="27">I78</f>
        <v>0</v>
      </c>
      <c r="J77" s="15">
        <f t="shared" si="27"/>
        <v>0</v>
      </c>
      <c r="K77" s="15">
        <f t="shared" si="27"/>
        <v>0</v>
      </c>
      <c r="L77" s="15">
        <f t="shared" si="27"/>
        <v>0</v>
      </c>
      <c r="M77" s="15">
        <f t="shared" si="27"/>
        <v>0</v>
      </c>
      <c r="N77" s="15">
        <f t="shared" si="27"/>
        <v>0</v>
      </c>
      <c r="O77" s="15">
        <f t="shared" si="27"/>
        <v>0</v>
      </c>
      <c r="P77" s="15">
        <f t="shared" si="27"/>
        <v>0</v>
      </c>
      <c r="Q77" s="15">
        <f t="shared" si="27"/>
        <v>0</v>
      </c>
      <c r="R77" s="15">
        <f t="shared" si="27"/>
        <v>0</v>
      </c>
      <c r="S77" s="15">
        <f t="shared" si="27"/>
        <v>0</v>
      </c>
      <c r="T77" s="15">
        <f t="shared" si="27"/>
        <v>0</v>
      </c>
    </row>
    <row r="78" spans="4:20" s="6" customFormat="1" ht="10.199999999999999" x14ac:dyDescent="0.25">
      <c r="D78" s="9" t="s">
        <v>73</v>
      </c>
      <c r="E78" s="13">
        <f t="shared" si="25"/>
        <v>0</v>
      </c>
      <c r="F78" s="27">
        <v>0</v>
      </c>
      <c r="G78" s="18"/>
      <c r="H78" s="32">
        <f>SUM(I78:T78)</f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</row>
    <row r="79" spans="4:20" s="6" customFormat="1" ht="10.199999999999999" x14ac:dyDescent="0.25">
      <c r="D79" s="8" t="s">
        <v>74</v>
      </c>
      <c r="E79" s="13">
        <f t="shared" si="25"/>
        <v>0</v>
      </c>
      <c r="F79" s="26">
        <f>SUM(F80:F84)</f>
        <v>0</v>
      </c>
      <c r="G79" s="18"/>
      <c r="H79" s="31">
        <f>SUM(H80:H84)</f>
        <v>0</v>
      </c>
      <c r="I79" s="15">
        <f t="shared" ref="I79:T79" si="28">SUM(I80:I84)</f>
        <v>0</v>
      </c>
      <c r="J79" s="15">
        <f t="shared" si="28"/>
        <v>0</v>
      </c>
      <c r="K79" s="15">
        <f t="shared" si="28"/>
        <v>0</v>
      </c>
      <c r="L79" s="15">
        <f t="shared" si="28"/>
        <v>0</v>
      </c>
      <c r="M79" s="15">
        <f t="shared" si="28"/>
        <v>0</v>
      </c>
      <c r="N79" s="15">
        <f t="shared" si="28"/>
        <v>0</v>
      </c>
      <c r="O79" s="15">
        <f t="shared" si="28"/>
        <v>0</v>
      </c>
      <c r="P79" s="15">
        <f t="shared" si="28"/>
        <v>0</v>
      </c>
      <c r="Q79" s="15">
        <f t="shared" si="28"/>
        <v>0</v>
      </c>
      <c r="R79" s="15">
        <f t="shared" si="28"/>
        <v>0</v>
      </c>
      <c r="S79" s="15">
        <f t="shared" si="28"/>
        <v>0</v>
      </c>
      <c r="T79" s="15">
        <f t="shared" si="28"/>
        <v>0</v>
      </c>
    </row>
    <row r="80" spans="4:20" s="6" customFormat="1" ht="10.199999999999999" x14ac:dyDescent="0.25">
      <c r="D80" s="9" t="s">
        <v>75</v>
      </c>
      <c r="E80" s="13">
        <f t="shared" si="25"/>
        <v>0</v>
      </c>
      <c r="F80" s="27">
        <v>0</v>
      </c>
      <c r="G80" s="18"/>
      <c r="H80" s="32">
        <f>SUM(I80:T80)</f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</row>
    <row r="81" spans="4:20" s="6" customFormat="1" ht="10.199999999999999" x14ac:dyDescent="0.25">
      <c r="D81" s="9" t="s">
        <v>76</v>
      </c>
      <c r="E81" s="13">
        <f t="shared" si="25"/>
        <v>0</v>
      </c>
      <c r="F81" s="27">
        <v>0</v>
      </c>
      <c r="G81" s="18"/>
      <c r="H81" s="32">
        <f t="shared" ref="H81:H84" si="29">SUM(I81:T81)</f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</row>
    <row r="82" spans="4:20" s="6" customFormat="1" ht="10.199999999999999" x14ac:dyDescent="0.25">
      <c r="D82" s="9" t="s">
        <v>31</v>
      </c>
      <c r="E82" s="13">
        <f t="shared" si="25"/>
        <v>0</v>
      </c>
      <c r="F82" s="27">
        <v>0</v>
      </c>
      <c r="G82" s="18"/>
      <c r="H82" s="32">
        <f t="shared" si="29"/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4:20" s="6" customFormat="1" ht="10.199999999999999" x14ac:dyDescent="0.25">
      <c r="D83" s="9" t="s">
        <v>32</v>
      </c>
      <c r="E83" s="13">
        <f t="shared" si="25"/>
        <v>0</v>
      </c>
      <c r="F83" s="27">
        <v>0</v>
      </c>
      <c r="G83" s="18"/>
      <c r="H83" s="32">
        <f t="shared" si="29"/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</row>
    <row r="84" spans="4:20" s="6" customFormat="1" ht="10.199999999999999" x14ac:dyDescent="0.25">
      <c r="D84" s="9" t="s">
        <v>77</v>
      </c>
      <c r="E84" s="13">
        <f t="shared" si="25"/>
        <v>0</v>
      </c>
      <c r="F84" s="27">
        <v>0</v>
      </c>
      <c r="G84" s="18"/>
      <c r="H84" s="32">
        <f t="shared" si="29"/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</row>
    <row r="85" spans="4:20" s="6" customFormat="1" ht="20.399999999999999" x14ac:dyDescent="0.25">
      <c r="D85" s="11" t="s">
        <v>78</v>
      </c>
      <c r="E85" s="13">
        <f t="shared" si="25"/>
        <v>0</v>
      </c>
      <c r="F85" s="26">
        <v>0</v>
      </c>
      <c r="G85" s="18"/>
      <c r="H85" s="31">
        <f>SUM(I85:T85)</f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</row>
    <row r="86" spans="4:20" s="6" customFormat="1" ht="10.199999999999999" x14ac:dyDescent="0.25">
      <c r="D86" s="8" t="s">
        <v>79</v>
      </c>
      <c r="E86" s="13">
        <f t="shared" si="25"/>
        <v>0</v>
      </c>
      <c r="F86" s="26">
        <f>SUM(F87:F95)</f>
        <v>0</v>
      </c>
      <c r="G86" s="18"/>
      <c r="H86" s="31">
        <f>SUM(H87:H95)</f>
        <v>0</v>
      </c>
      <c r="I86" s="15">
        <f t="shared" ref="I86:T86" si="30">SUM(I87:I95)</f>
        <v>0</v>
      </c>
      <c r="J86" s="15">
        <f t="shared" si="30"/>
        <v>0</v>
      </c>
      <c r="K86" s="15">
        <f t="shared" si="30"/>
        <v>0</v>
      </c>
      <c r="L86" s="15">
        <f t="shared" si="30"/>
        <v>0</v>
      </c>
      <c r="M86" s="15">
        <f t="shared" si="30"/>
        <v>0</v>
      </c>
      <c r="N86" s="15">
        <f t="shared" si="30"/>
        <v>0</v>
      </c>
      <c r="O86" s="15">
        <f t="shared" si="30"/>
        <v>0</v>
      </c>
      <c r="P86" s="15">
        <f t="shared" si="30"/>
        <v>0</v>
      </c>
      <c r="Q86" s="15">
        <f t="shared" si="30"/>
        <v>0</v>
      </c>
      <c r="R86" s="15">
        <f t="shared" si="30"/>
        <v>0</v>
      </c>
      <c r="S86" s="15">
        <f t="shared" si="30"/>
        <v>0</v>
      </c>
      <c r="T86" s="15">
        <f t="shared" si="30"/>
        <v>0</v>
      </c>
    </row>
    <row r="87" spans="4:20" s="6" customFormat="1" ht="20.399999999999999" x14ac:dyDescent="0.25">
      <c r="D87" s="11" t="s">
        <v>80</v>
      </c>
      <c r="E87" s="13">
        <f t="shared" si="25"/>
        <v>0</v>
      </c>
      <c r="F87" s="26">
        <v>0</v>
      </c>
      <c r="G87" s="18"/>
      <c r="H87" s="31">
        <f>SUM(I87:T87)</f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</row>
    <row r="88" spans="4:20" s="6" customFormat="1" ht="20.399999999999999" x14ac:dyDescent="0.25">
      <c r="D88" s="8" t="s">
        <v>81</v>
      </c>
      <c r="E88" s="13">
        <f t="shared" si="25"/>
        <v>0</v>
      </c>
      <c r="F88" s="26">
        <v>0</v>
      </c>
      <c r="G88" s="18"/>
      <c r="H88" s="31">
        <f t="shared" ref="H88:H95" si="31">SUM(I88:T88)</f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</row>
    <row r="89" spans="4:20" s="6" customFormat="1" ht="20.399999999999999" x14ac:dyDescent="0.25">
      <c r="D89" s="8" t="s">
        <v>82</v>
      </c>
      <c r="E89" s="13">
        <f t="shared" si="25"/>
        <v>0</v>
      </c>
      <c r="F89" s="26">
        <v>0</v>
      </c>
      <c r="G89" s="18"/>
      <c r="H89" s="31">
        <f t="shared" si="31"/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</row>
    <row r="90" spans="4:20" s="6" customFormat="1" ht="20.399999999999999" x14ac:dyDescent="0.25">
      <c r="D90" s="11" t="s">
        <v>83</v>
      </c>
      <c r="E90" s="13">
        <f t="shared" si="25"/>
        <v>0</v>
      </c>
      <c r="F90" s="26">
        <v>0</v>
      </c>
      <c r="G90" s="18"/>
      <c r="H90" s="31">
        <f t="shared" si="31"/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</row>
    <row r="91" spans="4:20" s="6" customFormat="1" ht="20.399999999999999" x14ac:dyDescent="0.25">
      <c r="D91" s="11" t="s">
        <v>84</v>
      </c>
      <c r="E91" s="13">
        <f t="shared" si="25"/>
        <v>0</v>
      </c>
      <c r="F91" s="26">
        <v>0</v>
      </c>
      <c r="G91" s="18"/>
      <c r="H91" s="31">
        <f t="shared" si="31"/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</row>
    <row r="92" spans="4:20" s="6" customFormat="1" ht="20.399999999999999" x14ac:dyDescent="0.25">
      <c r="D92" s="11" t="s">
        <v>85</v>
      </c>
      <c r="E92" s="13">
        <f t="shared" si="25"/>
        <v>0</v>
      </c>
      <c r="F92" s="26">
        <v>0</v>
      </c>
      <c r="G92" s="18"/>
      <c r="H92" s="31">
        <f t="shared" si="31"/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</row>
    <row r="93" spans="4:20" s="6" customFormat="1" ht="20.399999999999999" x14ac:dyDescent="0.25">
      <c r="D93" s="11" t="s">
        <v>86</v>
      </c>
      <c r="E93" s="13">
        <f t="shared" si="25"/>
        <v>0</v>
      </c>
      <c r="F93" s="26">
        <v>0</v>
      </c>
      <c r="G93" s="18"/>
      <c r="H93" s="31">
        <f t="shared" si="31"/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</row>
    <row r="94" spans="4:20" s="6" customFormat="1" ht="20.399999999999999" x14ac:dyDescent="0.25">
      <c r="D94" s="11" t="s">
        <v>87</v>
      </c>
      <c r="E94" s="13">
        <f t="shared" si="25"/>
        <v>0</v>
      </c>
      <c r="F94" s="26">
        <v>0</v>
      </c>
      <c r="G94" s="18"/>
      <c r="H94" s="31">
        <f t="shared" si="31"/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</row>
    <row r="95" spans="4:20" s="6" customFormat="1" ht="10.199999999999999" x14ac:dyDescent="0.25">
      <c r="D95" s="8" t="s">
        <v>88</v>
      </c>
      <c r="E95" s="13">
        <f t="shared" si="25"/>
        <v>0</v>
      </c>
      <c r="F95" s="26">
        <v>0</v>
      </c>
      <c r="G95" s="18"/>
      <c r="H95" s="31">
        <f t="shared" si="31"/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</row>
    <row r="96" spans="4:20" s="6" customFormat="1" ht="20.399999999999999" x14ac:dyDescent="0.25">
      <c r="D96" s="8" t="s">
        <v>89</v>
      </c>
      <c r="E96" s="13">
        <f t="shared" si="25"/>
        <v>0</v>
      </c>
      <c r="F96" s="26">
        <f>F97+F106+F109+F112+F118</f>
        <v>2339344362</v>
      </c>
      <c r="G96" s="18"/>
      <c r="H96" s="31">
        <f>H97+H106+H109+H112+H118</f>
        <v>2339344361.999999</v>
      </c>
      <c r="I96" s="15">
        <f t="shared" ref="I96:T96" si="32">I97+I106+I109+I112+I118</f>
        <v>263596049.4166666</v>
      </c>
      <c r="J96" s="15">
        <f t="shared" si="32"/>
        <v>270569514.41666657</v>
      </c>
      <c r="K96" s="15">
        <f t="shared" si="32"/>
        <v>211742676.4166666</v>
      </c>
      <c r="L96" s="15">
        <f t="shared" si="32"/>
        <v>210280008.4166666</v>
      </c>
      <c r="M96" s="15">
        <f t="shared" si="32"/>
        <v>180991932.41666654</v>
      </c>
      <c r="N96" s="15">
        <f t="shared" si="32"/>
        <v>186220203.41666654</v>
      </c>
      <c r="O96" s="15">
        <f t="shared" si="32"/>
        <v>177383280.41666654</v>
      </c>
      <c r="P96" s="15">
        <f t="shared" si="32"/>
        <v>178619879.41666654</v>
      </c>
      <c r="Q96" s="15">
        <f t="shared" si="32"/>
        <v>171016863.41666654</v>
      </c>
      <c r="R96" s="15">
        <f t="shared" si="32"/>
        <v>157696208.41666654</v>
      </c>
      <c r="S96" s="15">
        <f t="shared" si="32"/>
        <v>166480261.41666654</v>
      </c>
      <c r="T96" s="15">
        <f t="shared" si="32"/>
        <v>164747484.41666654</v>
      </c>
    </row>
    <row r="97" spans="4:21" s="6" customFormat="1" ht="10.199999999999999" x14ac:dyDescent="0.25">
      <c r="D97" s="8" t="s">
        <v>90</v>
      </c>
      <c r="E97" s="13">
        <f t="shared" si="25"/>
        <v>0</v>
      </c>
      <c r="F97" s="26">
        <f>SUM(F98:F105)</f>
        <v>1662544085</v>
      </c>
      <c r="G97" s="18"/>
      <c r="H97" s="31">
        <f>SUM(H98:H105)</f>
        <v>1662544085</v>
      </c>
      <c r="I97" s="15">
        <f t="shared" ref="I97:T97" si="33">SUM(I98:I105)</f>
        <v>207196026.33333334</v>
      </c>
      <c r="J97" s="15">
        <f t="shared" si="33"/>
        <v>214169491.33333334</v>
      </c>
      <c r="K97" s="15">
        <f t="shared" si="33"/>
        <v>155342653.33333334</v>
      </c>
      <c r="L97" s="15">
        <f t="shared" si="33"/>
        <v>153879985.33333334</v>
      </c>
      <c r="M97" s="15">
        <f t="shared" si="33"/>
        <v>124591909.33333331</v>
      </c>
      <c r="N97" s="15">
        <f t="shared" si="33"/>
        <v>129820180.33333331</v>
      </c>
      <c r="O97" s="15">
        <f t="shared" si="33"/>
        <v>120983257.33333331</v>
      </c>
      <c r="P97" s="15">
        <f t="shared" si="33"/>
        <v>122219856.33333331</v>
      </c>
      <c r="Q97" s="15">
        <f t="shared" si="33"/>
        <v>114616840.33333331</v>
      </c>
      <c r="R97" s="15">
        <f t="shared" si="33"/>
        <v>101296185.33333331</v>
      </c>
      <c r="S97" s="15">
        <f t="shared" si="33"/>
        <v>110080238.33333331</v>
      </c>
      <c r="T97" s="15">
        <f t="shared" si="33"/>
        <v>108347461.33333331</v>
      </c>
    </row>
    <row r="98" spans="4:21" s="6" customFormat="1" ht="10.199999999999999" x14ac:dyDescent="0.25">
      <c r="D98" s="9" t="s">
        <v>91</v>
      </c>
      <c r="E98" s="13">
        <f t="shared" si="25"/>
        <v>0</v>
      </c>
      <c r="F98" s="27">
        <v>1446221906</v>
      </c>
      <c r="G98" s="18"/>
      <c r="H98" s="32">
        <f>SUM(I98:T98)</f>
        <v>1446221906</v>
      </c>
      <c r="I98" s="20">
        <v>187573195</v>
      </c>
      <c r="J98" s="20">
        <v>195353616</v>
      </c>
      <c r="K98" s="20">
        <v>136706199</v>
      </c>
      <c r="L98" s="20">
        <v>134393826</v>
      </c>
      <c r="M98" s="20">
        <v>105981529</v>
      </c>
      <c r="N98" s="20">
        <v>110677519</v>
      </c>
      <c r="O98" s="20">
        <v>102683423</v>
      </c>
      <c r="P98" s="20">
        <v>103796489</v>
      </c>
      <c r="Q98" s="20">
        <v>96055690</v>
      </c>
      <c r="R98" s="20">
        <v>85233071</v>
      </c>
      <c r="S98" s="20">
        <v>94657552</v>
      </c>
      <c r="T98" s="20">
        <v>93109797</v>
      </c>
    </row>
    <row r="99" spans="4:21" s="6" customFormat="1" ht="10.199999999999999" x14ac:dyDescent="0.25">
      <c r="D99" s="9" t="s">
        <v>92</v>
      </c>
      <c r="E99" s="13">
        <f t="shared" si="25"/>
        <v>0</v>
      </c>
      <c r="F99" s="27">
        <v>165347639</v>
      </c>
      <c r="G99" s="18"/>
      <c r="H99" s="32">
        <f t="shared" ref="H99:H105" si="34">SUM(I99:T99)</f>
        <v>165347639</v>
      </c>
      <c r="I99" s="20">
        <v>15374953</v>
      </c>
      <c r="J99" s="20">
        <v>14567997</v>
      </c>
      <c r="K99" s="20">
        <v>14388576</v>
      </c>
      <c r="L99" s="20">
        <v>15238281</v>
      </c>
      <c r="M99" s="20">
        <v>14362502</v>
      </c>
      <c r="N99" s="20">
        <v>14894783</v>
      </c>
      <c r="O99" s="20">
        <v>14051956</v>
      </c>
      <c r="P99" s="20">
        <v>14175489</v>
      </c>
      <c r="Q99" s="20">
        <v>14313272</v>
      </c>
      <c r="R99" s="20">
        <v>11815236</v>
      </c>
      <c r="S99" s="20">
        <v>11174808</v>
      </c>
      <c r="T99" s="20">
        <v>10989786</v>
      </c>
    </row>
    <row r="100" spans="4:21" s="6" customFormat="1" ht="10.199999999999999" x14ac:dyDescent="0.25">
      <c r="D100" s="9" t="s">
        <v>93</v>
      </c>
      <c r="E100" s="13">
        <f t="shared" si="25"/>
        <v>0</v>
      </c>
      <c r="F100" s="27">
        <v>4868878</v>
      </c>
      <c r="G100" s="18"/>
      <c r="H100" s="32">
        <f t="shared" si="34"/>
        <v>4868877.9999999963</v>
      </c>
      <c r="I100" s="16">
        <v>405739.83333333302</v>
      </c>
      <c r="J100" s="16">
        <v>405739.83333333302</v>
      </c>
      <c r="K100" s="16">
        <v>405739.83333333302</v>
      </c>
      <c r="L100" s="16">
        <v>405739.83333333302</v>
      </c>
      <c r="M100" s="16">
        <v>405739.83333333302</v>
      </c>
      <c r="N100" s="16">
        <v>405739.83333333302</v>
      </c>
      <c r="O100" s="16">
        <v>405739.83333333302</v>
      </c>
      <c r="P100" s="16">
        <v>405739.83333333302</v>
      </c>
      <c r="Q100" s="16">
        <v>405739.83333333302</v>
      </c>
      <c r="R100" s="16">
        <v>405739.83333333302</v>
      </c>
      <c r="S100" s="16">
        <v>405739.83333333302</v>
      </c>
      <c r="T100" s="16">
        <v>405739.83333333302</v>
      </c>
    </row>
    <row r="101" spans="4:21" s="6" customFormat="1" ht="10.199999999999999" x14ac:dyDescent="0.25">
      <c r="D101" s="9" t="s">
        <v>94</v>
      </c>
      <c r="E101" s="13">
        <f t="shared" si="25"/>
        <v>4.0978193283081055E-8</v>
      </c>
      <c r="F101" s="27">
        <v>19211287</v>
      </c>
      <c r="G101" s="18"/>
      <c r="H101" s="32">
        <f t="shared" si="34"/>
        <v>19211286.999999959</v>
      </c>
      <c r="I101" s="16">
        <v>1600940.58333333</v>
      </c>
      <c r="J101" s="16">
        <v>1600940.58333333</v>
      </c>
      <c r="K101" s="16">
        <v>1600940.58333333</v>
      </c>
      <c r="L101" s="16">
        <v>1600940.58333333</v>
      </c>
      <c r="M101" s="16">
        <v>1600940.58333333</v>
      </c>
      <c r="N101" s="16">
        <v>1600940.58333333</v>
      </c>
      <c r="O101" s="16">
        <v>1600940.58333333</v>
      </c>
      <c r="P101" s="16">
        <v>1600940.58333333</v>
      </c>
      <c r="Q101" s="16">
        <v>1600940.58333333</v>
      </c>
      <c r="R101" s="16">
        <v>1600940.58333333</v>
      </c>
      <c r="S101" s="16">
        <v>1600940.58333333</v>
      </c>
      <c r="T101" s="16">
        <v>1600940.58333333</v>
      </c>
    </row>
    <row r="102" spans="4:21" s="6" customFormat="1" ht="10.199999999999999" x14ac:dyDescent="0.25">
      <c r="D102" s="9" t="s">
        <v>95</v>
      </c>
      <c r="E102" s="13">
        <f t="shared" si="25"/>
        <v>0</v>
      </c>
      <c r="F102" s="27">
        <v>0</v>
      </c>
      <c r="G102" s="18"/>
      <c r="H102" s="32">
        <f t="shared" si="34"/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</row>
    <row r="103" spans="4:21" s="6" customFormat="1" ht="10.199999999999999" x14ac:dyDescent="0.25">
      <c r="D103" s="9" t="s">
        <v>96</v>
      </c>
      <c r="E103" s="13">
        <f t="shared" si="25"/>
        <v>0</v>
      </c>
      <c r="F103" s="27">
        <v>13268007</v>
      </c>
      <c r="G103" s="18"/>
      <c r="H103" s="32">
        <f t="shared" si="34"/>
        <v>13268007</v>
      </c>
      <c r="I103" s="16">
        <v>1105667.25</v>
      </c>
      <c r="J103" s="16">
        <v>1105667.25</v>
      </c>
      <c r="K103" s="16">
        <v>1105667.25</v>
      </c>
      <c r="L103" s="16">
        <v>1105667.25</v>
      </c>
      <c r="M103" s="16">
        <v>1105667.25</v>
      </c>
      <c r="N103" s="16">
        <v>1105667.25</v>
      </c>
      <c r="O103" s="16">
        <v>1105667.25</v>
      </c>
      <c r="P103" s="16">
        <v>1105667.25</v>
      </c>
      <c r="Q103" s="16">
        <v>1105667.25</v>
      </c>
      <c r="R103" s="16">
        <v>1105667.25</v>
      </c>
      <c r="S103" s="16">
        <v>1105667.25</v>
      </c>
      <c r="T103" s="16">
        <v>1105667.25</v>
      </c>
    </row>
    <row r="104" spans="4:21" s="6" customFormat="1" ht="10.199999999999999" x14ac:dyDescent="0.25">
      <c r="D104" s="9" t="s">
        <v>97</v>
      </c>
      <c r="E104" s="13">
        <f t="shared" si="25"/>
        <v>7.6368451118469238E-8</v>
      </c>
      <c r="F104" s="27">
        <v>13626368</v>
      </c>
      <c r="G104" s="18"/>
      <c r="H104" s="32">
        <f t="shared" si="34"/>
        <v>13626367.999999924</v>
      </c>
      <c r="I104" s="16">
        <v>1135530.66666666</v>
      </c>
      <c r="J104" s="16">
        <v>1135530.66666666</v>
      </c>
      <c r="K104" s="16">
        <v>1135530.66666666</v>
      </c>
      <c r="L104" s="16">
        <v>1135530.66666666</v>
      </c>
      <c r="M104" s="16">
        <v>1135530.66666666</v>
      </c>
      <c r="N104" s="16">
        <v>1135530.66666666</v>
      </c>
      <c r="O104" s="16">
        <v>1135530.66666666</v>
      </c>
      <c r="P104" s="16">
        <v>1135530.66666666</v>
      </c>
      <c r="Q104" s="16">
        <v>1135530.66666666</v>
      </c>
      <c r="R104" s="16">
        <v>1135530.66666666</v>
      </c>
      <c r="S104" s="16">
        <v>1135530.66666666</v>
      </c>
      <c r="T104" s="16">
        <v>1135530.66666666</v>
      </c>
    </row>
    <row r="105" spans="4:21" s="6" customFormat="1" ht="10.199999999999999" x14ac:dyDescent="0.25">
      <c r="D105" s="9" t="s">
        <v>98</v>
      </c>
      <c r="E105" s="13">
        <f t="shared" si="25"/>
        <v>0</v>
      </c>
      <c r="F105" s="27">
        <v>0</v>
      </c>
      <c r="G105" s="18"/>
      <c r="H105" s="32">
        <f t="shared" si="34"/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</row>
    <row r="106" spans="4:21" s="6" customFormat="1" ht="10.199999999999999" x14ac:dyDescent="0.25">
      <c r="D106" s="8" t="s">
        <v>99</v>
      </c>
      <c r="E106" s="13">
        <f t="shared" si="25"/>
        <v>1.0728836059570313E-6</v>
      </c>
      <c r="F106" s="26">
        <f>SUM(F107:F108)</f>
        <v>665396625</v>
      </c>
      <c r="G106" s="18"/>
      <c r="H106" s="31">
        <f>SUM(H107:H108)</f>
        <v>665396624.99999893</v>
      </c>
      <c r="I106" s="15">
        <f t="shared" ref="I106:T106" si="35">SUM(I107:I108)</f>
        <v>55449718.749999896</v>
      </c>
      <c r="J106" s="15">
        <f t="shared" si="35"/>
        <v>55449718.749999896</v>
      </c>
      <c r="K106" s="15">
        <f t="shared" si="35"/>
        <v>55449718.749999896</v>
      </c>
      <c r="L106" s="15">
        <f t="shared" si="35"/>
        <v>55449718.749999896</v>
      </c>
      <c r="M106" s="15">
        <f t="shared" si="35"/>
        <v>55449718.749999896</v>
      </c>
      <c r="N106" s="15">
        <f t="shared" si="35"/>
        <v>55449718.749999896</v>
      </c>
      <c r="O106" s="15">
        <f t="shared" si="35"/>
        <v>55449718.749999896</v>
      </c>
      <c r="P106" s="15">
        <f t="shared" si="35"/>
        <v>55449718.749999896</v>
      </c>
      <c r="Q106" s="15">
        <f t="shared" si="35"/>
        <v>55449718.749999896</v>
      </c>
      <c r="R106" s="15">
        <f t="shared" si="35"/>
        <v>55449718.749999896</v>
      </c>
      <c r="S106" s="15">
        <f t="shared" si="35"/>
        <v>55449718.749999896</v>
      </c>
      <c r="T106" s="15">
        <f t="shared" si="35"/>
        <v>55449718.749999896</v>
      </c>
    </row>
    <row r="107" spans="4:21" s="6" customFormat="1" ht="10.199999999999999" x14ac:dyDescent="0.25">
      <c r="D107" s="9" t="s">
        <v>100</v>
      </c>
      <c r="E107" s="13">
        <f>+F107-H107</f>
        <v>3.5762786865234375E-7</v>
      </c>
      <c r="F107" s="27">
        <v>211639774</v>
      </c>
      <c r="G107" s="18"/>
      <c r="H107" s="32">
        <f>SUM(I107:T107)</f>
        <v>211639773.99999964</v>
      </c>
      <c r="I107" s="20">
        <v>17636647.833333299</v>
      </c>
      <c r="J107" s="20">
        <v>17636647.833333299</v>
      </c>
      <c r="K107" s="20">
        <v>17636647.833333299</v>
      </c>
      <c r="L107" s="20">
        <v>17636647.833333299</v>
      </c>
      <c r="M107" s="20">
        <v>17636647.833333299</v>
      </c>
      <c r="N107" s="20">
        <v>17636647.833333299</v>
      </c>
      <c r="O107" s="20">
        <v>17636647.833333299</v>
      </c>
      <c r="P107" s="20">
        <v>17636647.833333299</v>
      </c>
      <c r="Q107" s="20">
        <v>17636647.833333299</v>
      </c>
      <c r="R107" s="20">
        <v>17636647.833333299</v>
      </c>
      <c r="S107" s="20">
        <v>17636647.833333299</v>
      </c>
      <c r="T107" s="20">
        <v>17636647.833333299</v>
      </c>
      <c r="U107" s="20"/>
    </row>
    <row r="108" spans="4:21" s="6" customFormat="1" ht="20.399999999999999" x14ac:dyDescent="0.25">
      <c r="D108" s="9" t="s">
        <v>101</v>
      </c>
      <c r="E108" s="21">
        <f t="shared" si="25"/>
        <v>7.152557373046875E-7</v>
      </c>
      <c r="F108" s="29">
        <v>453756851</v>
      </c>
      <c r="G108" s="18"/>
      <c r="H108" s="34">
        <f>SUM(I108:T108)</f>
        <v>453756850.99999928</v>
      </c>
      <c r="I108" s="20">
        <v>37813070.916666597</v>
      </c>
      <c r="J108" s="20">
        <v>37813070.916666597</v>
      </c>
      <c r="K108" s="20">
        <v>37813070.916666597</v>
      </c>
      <c r="L108" s="20">
        <v>37813070.916666597</v>
      </c>
      <c r="M108" s="20">
        <v>37813070.916666597</v>
      </c>
      <c r="N108" s="20">
        <v>37813070.916666597</v>
      </c>
      <c r="O108" s="20">
        <v>37813070.916666597</v>
      </c>
      <c r="P108" s="20">
        <v>37813070.916666597</v>
      </c>
      <c r="Q108" s="20">
        <v>37813070.916666597</v>
      </c>
      <c r="R108" s="20">
        <v>37813070.916666597</v>
      </c>
      <c r="S108" s="20">
        <v>37813070.916666597</v>
      </c>
      <c r="T108" s="20">
        <v>37813070.916666597</v>
      </c>
    </row>
    <row r="109" spans="4:21" s="6" customFormat="1" ht="10.199999999999999" x14ac:dyDescent="0.25">
      <c r="D109" s="8" t="s">
        <v>102</v>
      </c>
      <c r="E109" s="13">
        <f t="shared" si="25"/>
        <v>0</v>
      </c>
      <c r="F109" s="26">
        <f>SUM(F110)</f>
        <v>0</v>
      </c>
      <c r="G109" s="18"/>
      <c r="H109" s="31">
        <f>SUM(H110)</f>
        <v>0</v>
      </c>
      <c r="I109" s="15">
        <f t="shared" ref="I109:T109" si="36">SUM(I110)</f>
        <v>0</v>
      </c>
      <c r="J109" s="15">
        <f t="shared" si="36"/>
        <v>0</v>
      </c>
      <c r="K109" s="15">
        <f t="shared" si="36"/>
        <v>0</v>
      </c>
      <c r="L109" s="15">
        <f t="shared" si="36"/>
        <v>0</v>
      </c>
      <c r="M109" s="15">
        <f t="shared" si="36"/>
        <v>0</v>
      </c>
      <c r="N109" s="15">
        <f t="shared" si="36"/>
        <v>0</v>
      </c>
      <c r="O109" s="15">
        <f t="shared" si="36"/>
        <v>0</v>
      </c>
      <c r="P109" s="15">
        <f t="shared" si="36"/>
        <v>0</v>
      </c>
      <c r="Q109" s="15">
        <f t="shared" si="36"/>
        <v>0</v>
      </c>
      <c r="R109" s="15">
        <f t="shared" si="36"/>
        <v>0</v>
      </c>
      <c r="S109" s="15">
        <f t="shared" si="36"/>
        <v>0</v>
      </c>
      <c r="T109" s="15">
        <f t="shared" si="36"/>
        <v>0</v>
      </c>
    </row>
    <row r="110" spans="4:21" s="6" customFormat="1" ht="10.199999999999999" x14ac:dyDescent="0.25">
      <c r="D110" s="9" t="s">
        <v>103</v>
      </c>
      <c r="E110" s="13">
        <f t="shared" si="25"/>
        <v>0</v>
      </c>
      <c r="F110" s="27">
        <v>0</v>
      </c>
      <c r="G110" s="18"/>
      <c r="H110" s="32">
        <f>SUM(I110:T110)</f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</row>
    <row r="111" spans="4:21" s="6" customFormat="1" ht="10.199999999999999" x14ac:dyDescent="0.25">
      <c r="D111" s="9" t="s">
        <v>104</v>
      </c>
      <c r="E111" s="13">
        <f t="shared" si="25"/>
        <v>0</v>
      </c>
      <c r="F111" s="27">
        <v>0</v>
      </c>
      <c r="G111" s="18"/>
      <c r="H111" s="32">
        <f>SUM(I111:T111)</f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</row>
    <row r="112" spans="4:21" s="6" customFormat="1" ht="10.199999999999999" x14ac:dyDescent="0.25">
      <c r="D112" s="8" t="s">
        <v>105</v>
      </c>
      <c r="E112" s="13">
        <f t="shared" si="25"/>
        <v>0</v>
      </c>
      <c r="F112" s="26">
        <f>SUM(F113:F117)</f>
        <v>11403652</v>
      </c>
      <c r="G112" s="18"/>
      <c r="H112" s="31">
        <f>SUM(H113:H117)</f>
        <v>11403651.999999996</v>
      </c>
      <c r="I112" s="15">
        <f t="shared" ref="I112:T112" si="37">SUM(I113:I117)</f>
        <v>950304.33333333302</v>
      </c>
      <c r="J112" s="15">
        <f t="shared" si="37"/>
        <v>950304.33333333302</v>
      </c>
      <c r="K112" s="15">
        <f t="shared" si="37"/>
        <v>950304.33333333302</v>
      </c>
      <c r="L112" s="15">
        <f t="shared" si="37"/>
        <v>950304.33333333302</v>
      </c>
      <c r="M112" s="15">
        <f t="shared" si="37"/>
        <v>950304.33333333302</v>
      </c>
      <c r="N112" s="15">
        <f t="shared" si="37"/>
        <v>950304.33333333302</v>
      </c>
      <c r="O112" s="15">
        <f t="shared" si="37"/>
        <v>950304.33333333302</v>
      </c>
      <c r="P112" s="15">
        <f t="shared" si="37"/>
        <v>950304.33333333302</v>
      </c>
      <c r="Q112" s="15">
        <f t="shared" si="37"/>
        <v>950304.33333333302</v>
      </c>
      <c r="R112" s="15">
        <f t="shared" si="37"/>
        <v>950304.33333333302</v>
      </c>
      <c r="S112" s="15">
        <f t="shared" si="37"/>
        <v>950304.33333333302</v>
      </c>
      <c r="T112" s="15">
        <f t="shared" si="37"/>
        <v>950304.33333333302</v>
      </c>
    </row>
    <row r="113" spans="4:20" s="6" customFormat="1" ht="10.199999999999999" x14ac:dyDescent="0.25">
      <c r="D113" s="9" t="s">
        <v>106</v>
      </c>
      <c r="E113" s="13">
        <f t="shared" si="25"/>
        <v>0</v>
      </c>
      <c r="F113" s="27">
        <v>0</v>
      </c>
      <c r="G113" s="18"/>
      <c r="H113" s="32">
        <f>SUM(I113:T113)</f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</row>
    <row r="114" spans="4:20" s="6" customFormat="1" ht="10.199999999999999" x14ac:dyDescent="0.25">
      <c r="D114" s="9" t="s">
        <v>107</v>
      </c>
      <c r="E114" s="13">
        <f t="shared" si="25"/>
        <v>0</v>
      </c>
      <c r="F114" s="27">
        <v>2332806</v>
      </c>
      <c r="G114" s="18"/>
      <c r="H114" s="32">
        <f t="shared" ref="H114" si="38">SUM(I114:T114)</f>
        <v>2332806</v>
      </c>
      <c r="I114" s="16">
        <v>194400.5</v>
      </c>
      <c r="J114" s="16">
        <v>194400.5</v>
      </c>
      <c r="K114" s="16">
        <v>194400.5</v>
      </c>
      <c r="L114" s="16">
        <v>194400.5</v>
      </c>
      <c r="M114" s="16">
        <v>194400.5</v>
      </c>
      <c r="N114" s="16">
        <v>194400.5</v>
      </c>
      <c r="O114" s="16">
        <v>194400.5</v>
      </c>
      <c r="P114" s="16">
        <v>194400.5</v>
      </c>
      <c r="Q114" s="16">
        <v>194400.5</v>
      </c>
      <c r="R114" s="16">
        <v>194400.5</v>
      </c>
      <c r="S114" s="16">
        <v>194400.5</v>
      </c>
      <c r="T114" s="16">
        <v>194400.5</v>
      </c>
    </row>
    <row r="115" spans="4:20" s="6" customFormat="1" ht="10.199999999999999" x14ac:dyDescent="0.25">
      <c r="D115" s="9" t="s">
        <v>108</v>
      </c>
      <c r="E115" s="13">
        <f t="shared" si="25"/>
        <v>0</v>
      </c>
      <c r="F115" s="27">
        <v>9070846</v>
      </c>
      <c r="G115" s="18"/>
      <c r="H115" s="32">
        <f>SUM(I115:T115)</f>
        <v>9070845.9999999963</v>
      </c>
      <c r="I115" s="16">
        <v>755903.83333333302</v>
      </c>
      <c r="J115" s="16">
        <v>755903.83333333302</v>
      </c>
      <c r="K115" s="16">
        <v>755903.83333333302</v>
      </c>
      <c r="L115" s="16">
        <v>755903.83333333302</v>
      </c>
      <c r="M115" s="16">
        <v>755903.83333333302</v>
      </c>
      <c r="N115" s="16">
        <v>755903.83333333302</v>
      </c>
      <c r="O115" s="16">
        <v>755903.83333333302</v>
      </c>
      <c r="P115" s="16">
        <v>755903.83333333302</v>
      </c>
      <c r="Q115" s="16">
        <v>755903.83333333302</v>
      </c>
      <c r="R115" s="16">
        <v>755903.83333333302</v>
      </c>
      <c r="S115" s="16">
        <v>755903.83333333302</v>
      </c>
      <c r="T115" s="16">
        <v>755903.83333333302</v>
      </c>
    </row>
    <row r="116" spans="4:20" s="6" customFormat="1" ht="10.199999999999999" x14ac:dyDescent="0.25">
      <c r="D116" s="9" t="s">
        <v>109</v>
      </c>
      <c r="E116" s="13">
        <f t="shared" si="25"/>
        <v>0</v>
      </c>
      <c r="F116" s="27">
        <v>0</v>
      </c>
      <c r="G116" s="18"/>
      <c r="H116" s="32">
        <f>SUM(I116:T116)</f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</row>
    <row r="117" spans="4:20" s="6" customFormat="1" ht="10.199999999999999" x14ac:dyDescent="0.25">
      <c r="D117" s="9" t="s">
        <v>110</v>
      </c>
      <c r="E117" s="13">
        <f t="shared" si="25"/>
        <v>0</v>
      </c>
      <c r="F117" s="27">
        <v>0</v>
      </c>
      <c r="G117" s="18"/>
      <c r="H117" s="32">
        <f>SUM(I117:T117)</f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</row>
    <row r="118" spans="4:20" s="6" customFormat="1" ht="10.199999999999999" x14ac:dyDescent="0.25">
      <c r="D118" s="8" t="s">
        <v>111</v>
      </c>
      <c r="E118" s="13">
        <f t="shared" si="25"/>
        <v>0</v>
      </c>
      <c r="F118" s="26">
        <v>0</v>
      </c>
      <c r="G118" s="18"/>
      <c r="H118" s="31">
        <f>SUM(I118:T118)</f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</row>
    <row r="119" spans="4:20" s="6" customFormat="1" ht="20.399999999999999" x14ac:dyDescent="0.25">
      <c r="D119" s="11" t="s">
        <v>112</v>
      </c>
      <c r="E119" s="13">
        <f t="shared" si="25"/>
        <v>0</v>
      </c>
      <c r="F119" s="26">
        <f>F120+F123+F126+F127</f>
        <v>0</v>
      </c>
      <c r="G119" s="18"/>
      <c r="H119" s="31">
        <f>H120+H123+H126+H127</f>
        <v>0</v>
      </c>
      <c r="I119" s="15">
        <f t="shared" ref="I119:T119" si="39">I120+I123+I126+I127</f>
        <v>0</v>
      </c>
      <c r="J119" s="15">
        <f t="shared" si="39"/>
        <v>0</v>
      </c>
      <c r="K119" s="15">
        <f t="shared" si="39"/>
        <v>0</v>
      </c>
      <c r="L119" s="15">
        <f t="shared" si="39"/>
        <v>0</v>
      </c>
      <c r="M119" s="15">
        <f t="shared" si="39"/>
        <v>0</v>
      </c>
      <c r="N119" s="15">
        <f t="shared" si="39"/>
        <v>0</v>
      </c>
      <c r="O119" s="15">
        <f t="shared" si="39"/>
        <v>0</v>
      </c>
      <c r="P119" s="15">
        <f t="shared" si="39"/>
        <v>0</v>
      </c>
      <c r="Q119" s="15">
        <f t="shared" si="39"/>
        <v>0</v>
      </c>
      <c r="R119" s="15">
        <f t="shared" si="39"/>
        <v>0</v>
      </c>
      <c r="S119" s="15">
        <f t="shared" si="39"/>
        <v>0</v>
      </c>
      <c r="T119" s="15">
        <f t="shared" si="39"/>
        <v>0</v>
      </c>
    </row>
    <row r="120" spans="4:20" s="6" customFormat="1" ht="10.199999999999999" x14ac:dyDescent="0.25">
      <c r="D120" s="8" t="s">
        <v>113</v>
      </c>
      <c r="E120" s="13">
        <f t="shared" si="25"/>
        <v>0</v>
      </c>
      <c r="F120" s="26">
        <f>SUM(F121:F122)</f>
        <v>0</v>
      </c>
      <c r="G120" s="18"/>
      <c r="H120" s="31">
        <f>SUM(H121:H122)</f>
        <v>0</v>
      </c>
      <c r="I120" s="15">
        <f t="shared" ref="I120:T120" si="40">SUM(I121:I122)</f>
        <v>0</v>
      </c>
      <c r="J120" s="15">
        <f t="shared" si="40"/>
        <v>0</v>
      </c>
      <c r="K120" s="15">
        <f t="shared" si="40"/>
        <v>0</v>
      </c>
      <c r="L120" s="15">
        <f t="shared" si="40"/>
        <v>0</v>
      </c>
      <c r="M120" s="15">
        <f t="shared" si="40"/>
        <v>0</v>
      </c>
      <c r="N120" s="15">
        <f t="shared" si="40"/>
        <v>0</v>
      </c>
      <c r="O120" s="15">
        <f t="shared" si="40"/>
        <v>0</v>
      </c>
      <c r="P120" s="15">
        <f t="shared" si="40"/>
        <v>0</v>
      </c>
      <c r="Q120" s="15">
        <f t="shared" si="40"/>
        <v>0</v>
      </c>
      <c r="R120" s="15">
        <f t="shared" si="40"/>
        <v>0</v>
      </c>
      <c r="S120" s="15">
        <f t="shared" si="40"/>
        <v>0</v>
      </c>
      <c r="T120" s="15">
        <f t="shared" si="40"/>
        <v>0</v>
      </c>
    </row>
    <row r="121" spans="4:20" s="6" customFormat="1" ht="10.199999999999999" x14ac:dyDescent="0.25">
      <c r="D121" s="9" t="s">
        <v>114</v>
      </c>
      <c r="E121" s="13">
        <f t="shared" si="25"/>
        <v>0</v>
      </c>
      <c r="F121" s="27">
        <v>0</v>
      </c>
      <c r="G121" s="18"/>
      <c r="H121" s="32">
        <f>SUM(I121:T121)</f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</row>
    <row r="122" spans="4:20" s="6" customFormat="1" ht="10.199999999999999" x14ac:dyDescent="0.25">
      <c r="D122" s="9" t="s">
        <v>115</v>
      </c>
      <c r="E122" s="13">
        <f t="shared" si="25"/>
        <v>0</v>
      </c>
      <c r="F122" s="27">
        <v>0</v>
      </c>
      <c r="G122" s="18"/>
      <c r="H122" s="32">
        <f>SUM(I122:T122)</f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</row>
    <row r="123" spans="4:20" s="6" customFormat="1" ht="10.199999999999999" x14ac:dyDescent="0.25">
      <c r="D123" s="8" t="s">
        <v>116</v>
      </c>
      <c r="E123" s="13">
        <f t="shared" si="25"/>
        <v>0</v>
      </c>
      <c r="F123" s="26">
        <f>SUM(F124:F125)</f>
        <v>0</v>
      </c>
      <c r="G123" s="18"/>
      <c r="H123" s="31">
        <f>SUM(H124:H125)</f>
        <v>0</v>
      </c>
      <c r="I123" s="15">
        <f t="shared" ref="I123:T123" si="41">SUM(I124:I125)</f>
        <v>0</v>
      </c>
      <c r="J123" s="15">
        <f t="shared" si="41"/>
        <v>0</v>
      </c>
      <c r="K123" s="15">
        <f t="shared" si="41"/>
        <v>0</v>
      </c>
      <c r="L123" s="15">
        <f t="shared" si="41"/>
        <v>0</v>
      </c>
      <c r="M123" s="15">
        <f t="shared" si="41"/>
        <v>0</v>
      </c>
      <c r="N123" s="15">
        <f t="shared" si="41"/>
        <v>0</v>
      </c>
      <c r="O123" s="15">
        <f t="shared" si="41"/>
        <v>0</v>
      </c>
      <c r="P123" s="15">
        <f t="shared" si="41"/>
        <v>0</v>
      </c>
      <c r="Q123" s="15">
        <f t="shared" si="41"/>
        <v>0</v>
      </c>
      <c r="R123" s="15">
        <f t="shared" si="41"/>
        <v>0</v>
      </c>
      <c r="S123" s="15">
        <f t="shared" si="41"/>
        <v>0</v>
      </c>
      <c r="T123" s="15">
        <f t="shared" si="41"/>
        <v>0</v>
      </c>
    </row>
    <row r="124" spans="4:20" s="6" customFormat="1" ht="10.199999999999999" x14ac:dyDescent="0.25">
      <c r="D124" s="9" t="s">
        <v>114</v>
      </c>
      <c r="E124" s="13">
        <f t="shared" si="25"/>
        <v>0</v>
      </c>
      <c r="F124" s="27">
        <v>0</v>
      </c>
      <c r="G124" s="18"/>
      <c r="H124" s="32">
        <f>SUM(I124:T124)</f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</row>
    <row r="125" spans="4:20" s="6" customFormat="1" ht="10.199999999999999" x14ac:dyDescent="0.25">
      <c r="D125" s="9" t="s">
        <v>115</v>
      </c>
      <c r="E125" s="13">
        <f t="shared" si="25"/>
        <v>0</v>
      </c>
      <c r="F125" s="27">
        <v>0</v>
      </c>
      <c r="G125" s="18"/>
      <c r="H125" s="32">
        <f>SUM(I125:T125)</f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</row>
    <row r="126" spans="4:20" s="6" customFormat="1" ht="10.199999999999999" x14ac:dyDescent="0.25">
      <c r="D126" s="8" t="s">
        <v>117</v>
      </c>
      <c r="E126" s="13">
        <f t="shared" si="25"/>
        <v>0</v>
      </c>
      <c r="F126" s="26">
        <v>0</v>
      </c>
      <c r="G126" s="18"/>
      <c r="H126" s="31">
        <f>SUM(I126:T126)</f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</row>
    <row r="127" spans="4:20" s="6" customFormat="1" ht="10.199999999999999" x14ac:dyDescent="0.25">
      <c r="D127" s="8" t="s">
        <v>118</v>
      </c>
      <c r="E127" s="13">
        <f t="shared" si="25"/>
        <v>0</v>
      </c>
      <c r="F127" s="26">
        <v>0</v>
      </c>
      <c r="G127" s="18"/>
      <c r="H127" s="31">
        <f>SUM(I127:T127)</f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</row>
    <row r="128" spans="4:20" s="6" customFormat="1" ht="10.199999999999999" x14ac:dyDescent="0.25">
      <c r="D128" s="8" t="s">
        <v>119</v>
      </c>
      <c r="E128" s="13">
        <f t="shared" si="25"/>
        <v>0</v>
      </c>
      <c r="F128" s="26">
        <f>SUM(F129:F131)</f>
        <v>0</v>
      </c>
      <c r="G128" s="18"/>
      <c r="H128" s="31">
        <f>SUM(H129:H131)</f>
        <v>0</v>
      </c>
      <c r="I128" s="15">
        <f t="shared" ref="I128:T128" si="42">SUM(I129:I131)</f>
        <v>0</v>
      </c>
      <c r="J128" s="15">
        <f t="shared" si="42"/>
        <v>0</v>
      </c>
      <c r="K128" s="15">
        <f t="shared" si="42"/>
        <v>0</v>
      </c>
      <c r="L128" s="15">
        <f t="shared" si="42"/>
        <v>0</v>
      </c>
      <c r="M128" s="15">
        <f t="shared" si="42"/>
        <v>0</v>
      </c>
      <c r="N128" s="15">
        <f t="shared" si="42"/>
        <v>0</v>
      </c>
      <c r="O128" s="15">
        <f t="shared" si="42"/>
        <v>0</v>
      </c>
      <c r="P128" s="15">
        <f t="shared" si="42"/>
        <v>0</v>
      </c>
      <c r="Q128" s="15">
        <f t="shared" si="42"/>
        <v>0</v>
      </c>
      <c r="R128" s="15">
        <f t="shared" si="42"/>
        <v>0</v>
      </c>
      <c r="S128" s="15">
        <f t="shared" si="42"/>
        <v>0</v>
      </c>
      <c r="T128" s="15">
        <f t="shared" si="42"/>
        <v>0</v>
      </c>
    </row>
    <row r="129" spans="4:20" s="6" customFormat="1" ht="10.199999999999999" x14ac:dyDescent="0.25">
      <c r="D129" s="8" t="s">
        <v>120</v>
      </c>
      <c r="E129" s="13">
        <f t="shared" si="25"/>
        <v>0</v>
      </c>
      <c r="F129" s="26">
        <v>0</v>
      </c>
      <c r="G129" s="18"/>
      <c r="H129" s="31">
        <f>SUM(I129:S129)</f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</row>
    <row r="130" spans="4:20" s="6" customFormat="1" ht="10.199999999999999" x14ac:dyDescent="0.25">
      <c r="D130" s="8" t="s">
        <v>121</v>
      </c>
      <c r="E130" s="13">
        <f t="shared" si="25"/>
        <v>0</v>
      </c>
      <c r="F130" s="26">
        <v>0</v>
      </c>
      <c r="G130" s="18"/>
      <c r="H130" s="31">
        <f>SUM(I130:S130)</f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</row>
    <row r="131" spans="4:20" s="6" customFormat="1" ht="10.199999999999999" x14ac:dyDescent="0.25">
      <c r="D131" s="8" t="s">
        <v>122</v>
      </c>
      <c r="E131" s="13">
        <f t="shared" si="25"/>
        <v>0</v>
      </c>
      <c r="F131" s="26">
        <f>F132</f>
        <v>0</v>
      </c>
      <c r="G131" s="18"/>
      <c r="H131" s="31">
        <f>H132</f>
        <v>0</v>
      </c>
      <c r="I131" s="15">
        <f t="shared" ref="I131:T131" si="43">I132</f>
        <v>0</v>
      </c>
      <c r="J131" s="15">
        <f t="shared" si="43"/>
        <v>0</v>
      </c>
      <c r="K131" s="15">
        <f t="shared" si="43"/>
        <v>0</v>
      </c>
      <c r="L131" s="15">
        <f t="shared" si="43"/>
        <v>0</v>
      </c>
      <c r="M131" s="15">
        <f t="shared" si="43"/>
        <v>0</v>
      </c>
      <c r="N131" s="15">
        <f t="shared" si="43"/>
        <v>0</v>
      </c>
      <c r="O131" s="15">
        <f t="shared" si="43"/>
        <v>0</v>
      </c>
      <c r="P131" s="15">
        <f t="shared" si="43"/>
        <v>0</v>
      </c>
      <c r="Q131" s="15">
        <f t="shared" si="43"/>
        <v>0</v>
      </c>
      <c r="R131" s="15">
        <f t="shared" si="43"/>
        <v>0</v>
      </c>
      <c r="S131" s="15">
        <f t="shared" si="43"/>
        <v>0</v>
      </c>
      <c r="T131" s="15">
        <f t="shared" si="43"/>
        <v>0</v>
      </c>
    </row>
    <row r="132" spans="4:20" s="6" customFormat="1" ht="10.199999999999999" x14ac:dyDescent="0.25">
      <c r="D132" s="9" t="s">
        <v>123</v>
      </c>
      <c r="E132" s="13">
        <f t="shared" si="25"/>
        <v>0</v>
      </c>
      <c r="F132" s="27">
        <v>0</v>
      </c>
      <c r="G132" s="18"/>
      <c r="H132" s="32">
        <f>SUM(I132:T132)</f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</row>
    <row r="133" spans="4:20" x14ac:dyDescent="0.25">
      <c r="E133" s="6"/>
    </row>
  </sheetData>
  <mergeCells count="3">
    <mergeCell ref="D2:T2"/>
    <mergeCell ref="D4:T4"/>
    <mergeCell ref="B6:G6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63" fitToHeight="2" orientation="landscape" r:id="rId1"/>
  <rowBreaks count="1" manualBreakCount="1">
    <brk id="69" max="16383" man="1"/>
  </rowBreaks>
  <ignoredErrors>
    <ignoredError sqref="H1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operez</dc:creator>
  <cp:lastModifiedBy>MAGDALENA MOGUEL THOR</cp:lastModifiedBy>
  <cp:lastPrinted>2023-04-24T20:14:31Z</cp:lastPrinted>
  <dcterms:created xsi:type="dcterms:W3CDTF">2020-08-10T18:11:40Z</dcterms:created>
  <dcterms:modified xsi:type="dcterms:W3CDTF">2023-04-24T20:14:38Z</dcterms:modified>
</cp:coreProperties>
</file>