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C) INFORMACION FINANCIERA GUBERNAMENTAL (LGCG-LDF)\2024 1°TRIM ENE-MAR\VII. Ley de Ingresos y Ppto de Egresos\"/>
    </mc:Choice>
  </mc:AlternateContent>
  <bookViews>
    <workbookView xWindow="0" yWindow="0" windowWidth="20490" windowHeight="7530"/>
  </bookViews>
  <sheets>
    <sheet name="2024" sheetId="3" r:id="rId1"/>
  </sheets>
  <calcPr calcId="162913"/>
</workbook>
</file>

<file path=xl/calcChain.xml><?xml version="1.0" encoding="utf-8"?>
<calcChain xmlns="http://schemas.openxmlformats.org/spreadsheetml/2006/main">
  <c r="R99" i="3" l="1"/>
  <c r="Q99" i="3"/>
  <c r="P99" i="3"/>
  <c r="O99" i="3"/>
  <c r="N99" i="3"/>
  <c r="M99" i="3"/>
  <c r="L99" i="3"/>
  <c r="K99" i="3"/>
  <c r="J99" i="3"/>
  <c r="I99" i="3"/>
  <c r="H99" i="3"/>
  <c r="G99" i="3"/>
  <c r="R98" i="3"/>
  <c r="Q98" i="3"/>
  <c r="P98" i="3"/>
  <c r="O98" i="3"/>
  <c r="N98" i="3"/>
  <c r="M98" i="3"/>
  <c r="L98" i="3"/>
  <c r="K98" i="3"/>
  <c r="J98" i="3"/>
  <c r="I98" i="3"/>
  <c r="H98" i="3"/>
  <c r="G98" i="3"/>
  <c r="R76" i="3"/>
  <c r="Q76" i="3"/>
  <c r="P76" i="3"/>
  <c r="O76" i="3"/>
  <c r="N76" i="3"/>
  <c r="M76" i="3"/>
  <c r="L76" i="3"/>
  <c r="K76" i="3"/>
  <c r="J76" i="3"/>
  <c r="I76" i="3"/>
  <c r="H76" i="3"/>
  <c r="G76" i="3"/>
  <c r="R72" i="3"/>
  <c r="Q72" i="3"/>
  <c r="P72" i="3"/>
  <c r="O72" i="3"/>
  <c r="N72" i="3"/>
  <c r="M72" i="3"/>
  <c r="L72" i="3"/>
  <c r="K72" i="3"/>
  <c r="J72" i="3"/>
  <c r="I72" i="3"/>
  <c r="H72" i="3"/>
  <c r="G72" i="3"/>
  <c r="R60" i="3"/>
  <c r="Q60" i="3"/>
  <c r="P60" i="3"/>
  <c r="O60" i="3"/>
  <c r="N60" i="3"/>
  <c r="M60" i="3"/>
  <c r="L60" i="3"/>
  <c r="K60" i="3"/>
  <c r="J60" i="3"/>
  <c r="I60" i="3"/>
  <c r="H60" i="3"/>
  <c r="G60" i="3"/>
  <c r="R59" i="3"/>
  <c r="Q59" i="3"/>
  <c r="P59" i="3"/>
  <c r="O59" i="3"/>
  <c r="N59" i="3"/>
  <c r="M59" i="3"/>
  <c r="L59" i="3"/>
  <c r="K59" i="3"/>
  <c r="J59" i="3"/>
  <c r="I59" i="3"/>
  <c r="H59" i="3"/>
  <c r="G59" i="3"/>
  <c r="R58" i="3"/>
  <c r="Q58" i="3"/>
  <c r="P58" i="3"/>
  <c r="O58" i="3"/>
  <c r="N58" i="3"/>
  <c r="M58" i="3"/>
  <c r="L58" i="3"/>
  <c r="K58" i="3"/>
  <c r="J58" i="3"/>
  <c r="I58" i="3"/>
  <c r="H58" i="3"/>
  <c r="G58" i="3"/>
  <c r="I55" i="3"/>
  <c r="R55" i="3"/>
  <c r="Q55" i="3"/>
  <c r="P55" i="3"/>
  <c r="O55" i="3"/>
  <c r="N55" i="3"/>
  <c r="M55" i="3"/>
  <c r="L55" i="3"/>
  <c r="K55" i="3"/>
  <c r="J55" i="3"/>
  <c r="H55" i="3"/>
  <c r="G55" i="3"/>
  <c r="R52" i="3"/>
  <c r="Q52" i="3"/>
  <c r="P52" i="3"/>
  <c r="O52" i="3"/>
  <c r="N52" i="3"/>
  <c r="M52" i="3"/>
  <c r="L52" i="3"/>
  <c r="K52" i="3"/>
  <c r="J52" i="3"/>
  <c r="I52" i="3"/>
  <c r="H52" i="3"/>
  <c r="G52" i="3"/>
  <c r="R45" i="3" l="1"/>
  <c r="Q45" i="3"/>
  <c r="P45" i="3"/>
  <c r="O45" i="3"/>
  <c r="N45" i="3"/>
  <c r="M45" i="3"/>
  <c r="L45" i="3"/>
  <c r="K45" i="3"/>
  <c r="J45" i="3"/>
  <c r="I45" i="3"/>
  <c r="H45" i="3"/>
  <c r="G45" i="3"/>
  <c r="R42" i="3"/>
  <c r="Q42" i="3"/>
  <c r="P42" i="3"/>
  <c r="O42" i="3"/>
  <c r="N42" i="3"/>
  <c r="M42" i="3"/>
  <c r="L42" i="3"/>
  <c r="K42" i="3"/>
  <c r="J42" i="3"/>
  <c r="I42" i="3"/>
  <c r="H42" i="3"/>
  <c r="G42" i="3"/>
  <c r="G41" i="3" s="1"/>
  <c r="R19" i="3"/>
  <c r="Q19" i="3"/>
  <c r="P19" i="3"/>
  <c r="O19" i="3"/>
  <c r="N19" i="3"/>
  <c r="M19" i="3"/>
  <c r="L19" i="3"/>
  <c r="K19" i="3"/>
  <c r="J19" i="3"/>
  <c r="I19" i="3"/>
  <c r="H19" i="3"/>
  <c r="G19" i="3"/>
  <c r="R16" i="3"/>
  <c r="Q16" i="3"/>
  <c r="P16" i="3"/>
  <c r="O16" i="3"/>
  <c r="N16" i="3"/>
  <c r="M16" i="3" l="1"/>
  <c r="L16" i="3"/>
  <c r="K16" i="3"/>
  <c r="J16" i="3"/>
  <c r="I16" i="3"/>
  <c r="H16" i="3"/>
  <c r="G16" i="3"/>
  <c r="N71" i="3"/>
  <c r="N70" i="3" s="1"/>
  <c r="J71" i="3"/>
  <c r="J70" i="3" s="1"/>
  <c r="G71" i="3"/>
  <c r="G70" i="3" s="1"/>
  <c r="R71" i="3"/>
  <c r="R70" i="3" s="1"/>
  <c r="Q71" i="3"/>
  <c r="Q70" i="3" s="1"/>
  <c r="O71" i="3"/>
  <c r="O70" i="3" s="1"/>
  <c r="M71" i="3"/>
  <c r="M70" i="3" s="1"/>
  <c r="K71" i="3"/>
  <c r="K70" i="3" s="1"/>
  <c r="I71" i="3"/>
  <c r="I70" i="3" s="1"/>
  <c r="F42" i="3"/>
  <c r="F76" i="3"/>
  <c r="R18" i="3"/>
  <c r="Q18" i="3"/>
  <c r="P18" i="3"/>
  <c r="O18" i="3"/>
  <c r="N18" i="3"/>
  <c r="L18" i="3"/>
  <c r="K18" i="3"/>
  <c r="J18" i="3"/>
  <c r="R15" i="3"/>
  <c r="Q15" i="3"/>
  <c r="F107" i="3"/>
  <c r="G77" i="3"/>
  <c r="H77" i="3"/>
  <c r="I77" i="3"/>
  <c r="I74" i="3" s="1"/>
  <c r="J77" i="3"/>
  <c r="K77" i="3"/>
  <c r="L77" i="3"/>
  <c r="M77" i="3"/>
  <c r="N77" i="3"/>
  <c r="O77" i="3"/>
  <c r="O74" i="3" s="1"/>
  <c r="P77" i="3"/>
  <c r="Q77" i="3"/>
  <c r="Q74" i="3" s="1"/>
  <c r="R77" i="3"/>
  <c r="F14" i="3"/>
  <c r="Q11" i="3"/>
  <c r="F130" i="3"/>
  <c r="F129" i="3"/>
  <c r="F132" i="3"/>
  <c r="F127" i="3"/>
  <c r="F126" i="3"/>
  <c r="F125" i="3"/>
  <c r="F124" i="3"/>
  <c r="F122" i="3"/>
  <c r="F121" i="3"/>
  <c r="F118" i="3"/>
  <c r="F117" i="3"/>
  <c r="F116" i="3"/>
  <c r="F115" i="3"/>
  <c r="F114" i="3"/>
  <c r="F113" i="3"/>
  <c r="F111" i="3"/>
  <c r="F110" i="3"/>
  <c r="F108" i="3"/>
  <c r="F99" i="3"/>
  <c r="F100" i="3"/>
  <c r="F101" i="3"/>
  <c r="F102" i="3"/>
  <c r="F103" i="3"/>
  <c r="F104" i="3"/>
  <c r="F105" i="3"/>
  <c r="F98" i="3"/>
  <c r="F85" i="3"/>
  <c r="F88" i="3"/>
  <c r="F89" i="3"/>
  <c r="F86" i="3" s="1"/>
  <c r="F90" i="3"/>
  <c r="F91" i="3"/>
  <c r="F92" i="3"/>
  <c r="F93" i="3"/>
  <c r="F94" i="3"/>
  <c r="F95" i="3"/>
  <c r="F87" i="3"/>
  <c r="F81" i="3"/>
  <c r="F82" i="3"/>
  <c r="F83" i="3"/>
  <c r="F84" i="3"/>
  <c r="F80" i="3"/>
  <c r="F78" i="3"/>
  <c r="F75" i="3"/>
  <c r="F66" i="3"/>
  <c r="F67" i="3"/>
  <c r="F68" i="3"/>
  <c r="F65" i="3"/>
  <c r="F55" i="3"/>
  <c r="F56" i="3"/>
  <c r="F57" i="3"/>
  <c r="F58" i="3"/>
  <c r="F59" i="3"/>
  <c r="F60" i="3"/>
  <c r="F61" i="3"/>
  <c r="F62" i="3"/>
  <c r="F63" i="3"/>
  <c r="F54" i="3"/>
  <c r="F50" i="3"/>
  <c r="F51" i="3"/>
  <c r="F52" i="3"/>
  <c r="F49" i="3"/>
  <c r="F43" i="3"/>
  <c r="F44" i="3"/>
  <c r="F45" i="3"/>
  <c r="F46" i="3"/>
  <c r="F47" i="3"/>
  <c r="F39" i="3"/>
  <c r="F38" i="3"/>
  <c r="F33" i="3"/>
  <c r="F34" i="3"/>
  <c r="F35" i="3"/>
  <c r="F36" i="3"/>
  <c r="F32" i="3"/>
  <c r="F30" i="3"/>
  <c r="F25" i="3"/>
  <c r="F26" i="3"/>
  <c r="F27" i="3"/>
  <c r="F29" i="3"/>
  <c r="F24" i="3"/>
  <c r="F21" i="3"/>
  <c r="F22" i="3"/>
  <c r="F20" i="3"/>
  <c r="F17" i="3"/>
  <c r="F13" i="3"/>
  <c r="F12" i="3"/>
  <c r="R131" i="3"/>
  <c r="Q131" i="3"/>
  <c r="P131" i="3"/>
  <c r="O131" i="3"/>
  <c r="O128" i="3" s="1"/>
  <c r="N131" i="3"/>
  <c r="M131" i="3"/>
  <c r="M128" i="3" s="1"/>
  <c r="L131" i="3"/>
  <c r="L128" i="3" s="1"/>
  <c r="K131" i="3"/>
  <c r="K128" i="3" s="1"/>
  <c r="J131" i="3"/>
  <c r="J128" i="3" s="1"/>
  <c r="I131" i="3"/>
  <c r="I128" i="3" s="1"/>
  <c r="H131" i="3"/>
  <c r="H128" i="3" s="1"/>
  <c r="G131" i="3"/>
  <c r="R128" i="3"/>
  <c r="Q128" i="3"/>
  <c r="P128" i="3"/>
  <c r="N128" i="3"/>
  <c r="G128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R120" i="3"/>
  <c r="Q120" i="3"/>
  <c r="P120" i="3"/>
  <c r="O120" i="3"/>
  <c r="O119" i="3" s="1"/>
  <c r="N120" i="3"/>
  <c r="N119" i="3" s="1"/>
  <c r="M120" i="3"/>
  <c r="M119" i="3" s="1"/>
  <c r="L120" i="3"/>
  <c r="L119" i="3" s="1"/>
  <c r="K120" i="3"/>
  <c r="J120" i="3"/>
  <c r="I120" i="3"/>
  <c r="H120" i="3"/>
  <c r="G120" i="3"/>
  <c r="G119" i="3" s="1"/>
  <c r="R119" i="3"/>
  <c r="Q119" i="3"/>
  <c r="P119" i="3"/>
  <c r="K119" i="3"/>
  <c r="J119" i="3"/>
  <c r="I119" i="3"/>
  <c r="H119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R97" i="3"/>
  <c r="Q97" i="3"/>
  <c r="Q96" i="3" s="1"/>
  <c r="P97" i="3"/>
  <c r="O97" i="3"/>
  <c r="N97" i="3"/>
  <c r="M97" i="3"/>
  <c r="M96" i="3" s="1"/>
  <c r="L97" i="3"/>
  <c r="K97" i="3"/>
  <c r="K96" i="3" s="1"/>
  <c r="J97" i="3"/>
  <c r="I97" i="3"/>
  <c r="I96" i="3" s="1"/>
  <c r="H97" i="3"/>
  <c r="H96" i="3" s="1"/>
  <c r="G97" i="3"/>
  <c r="R86" i="3"/>
  <c r="Q86" i="3"/>
  <c r="P86" i="3"/>
  <c r="O86" i="3"/>
  <c r="N86" i="3"/>
  <c r="M86" i="3"/>
  <c r="L86" i="3"/>
  <c r="K86" i="3"/>
  <c r="J86" i="3"/>
  <c r="I86" i="3"/>
  <c r="H86" i="3"/>
  <c r="G86" i="3"/>
  <c r="R79" i="3"/>
  <c r="R74" i="3" s="1"/>
  <c r="Q79" i="3"/>
  <c r="P79" i="3"/>
  <c r="O79" i="3"/>
  <c r="N79" i="3"/>
  <c r="N74" i="3" s="1"/>
  <c r="M79" i="3"/>
  <c r="L79" i="3"/>
  <c r="K79" i="3"/>
  <c r="K74" i="3" s="1"/>
  <c r="J79" i="3"/>
  <c r="I79" i="3"/>
  <c r="H79" i="3"/>
  <c r="G79" i="3"/>
  <c r="M74" i="3"/>
  <c r="J74" i="3"/>
  <c r="G74" i="3"/>
  <c r="P71" i="3"/>
  <c r="P70" i="3" s="1"/>
  <c r="L71" i="3"/>
  <c r="L70" i="3" s="1"/>
  <c r="R64" i="3"/>
  <c r="Q64" i="3"/>
  <c r="P64" i="3"/>
  <c r="O64" i="3"/>
  <c r="N64" i="3"/>
  <c r="M64" i="3"/>
  <c r="L64" i="3"/>
  <c r="K64" i="3"/>
  <c r="J64" i="3"/>
  <c r="I64" i="3"/>
  <c r="H64" i="3"/>
  <c r="G64" i="3"/>
  <c r="R53" i="3"/>
  <c r="Q53" i="3"/>
  <c r="P53" i="3"/>
  <c r="O53" i="3"/>
  <c r="N53" i="3"/>
  <c r="M53" i="3"/>
  <c r="L53" i="3"/>
  <c r="K53" i="3"/>
  <c r="J53" i="3"/>
  <c r="I53" i="3"/>
  <c r="H53" i="3"/>
  <c r="G53" i="3"/>
  <c r="R48" i="3"/>
  <c r="Q48" i="3"/>
  <c r="P48" i="3"/>
  <c r="O48" i="3"/>
  <c r="N48" i="3"/>
  <c r="M48" i="3"/>
  <c r="L48" i="3"/>
  <c r="K48" i="3"/>
  <c r="J48" i="3"/>
  <c r="I48" i="3"/>
  <c r="H48" i="3"/>
  <c r="G48" i="3"/>
  <c r="R41" i="3"/>
  <c r="Q41" i="3"/>
  <c r="P41" i="3"/>
  <c r="O41" i="3"/>
  <c r="N41" i="3"/>
  <c r="M41" i="3"/>
  <c r="L41" i="3"/>
  <c r="K41" i="3"/>
  <c r="J41" i="3"/>
  <c r="I41" i="3"/>
  <c r="H41" i="3"/>
  <c r="R37" i="3"/>
  <c r="Q37" i="3"/>
  <c r="P37" i="3"/>
  <c r="O37" i="3"/>
  <c r="N37" i="3"/>
  <c r="M37" i="3"/>
  <c r="L37" i="3"/>
  <c r="K37" i="3"/>
  <c r="J37" i="3"/>
  <c r="I37" i="3"/>
  <c r="H37" i="3"/>
  <c r="G37" i="3"/>
  <c r="R31" i="3"/>
  <c r="Q31" i="3"/>
  <c r="P31" i="3"/>
  <c r="O31" i="3"/>
  <c r="N31" i="3"/>
  <c r="M31" i="3"/>
  <c r="L31" i="3"/>
  <c r="K31" i="3"/>
  <c r="J31" i="3"/>
  <c r="I31" i="3"/>
  <c r="H31" i="3"/>
  <c r="G31" i="3"/>
  <c r="R28" i="3"/>
  <c r="Q28" i="3"/>
  <c r="P28" i="3"/>
  <c r="O28" i="3"/>
  <c r="N28" i="3"/>
  <c r="M28" i="3"/>
  <c r="L28" i="3"/>
  <c r="K28" i="3"/>
  <c r="J28" i="3"/>
  <c r="I28" i="3"/>
  <c r="H28" i="3"/>
  <c r="G28" i="3"/>
  <c r="R23" i="3"/>
  <c r="Q23" i="3"/>
  <c r="P23" i="3"/>
  <c r="O23" i="3"/>
  <c r="N23" i="3"/>
  <c r="M23" i="3"/>
  <c r="L23" i="3"/>
  <c r="K23" i="3"/>
  <c r="J23" i="3"/>
  <c r="I23" i="3"/>
  <c r="H23" i="3"/>
  <c r="G23" i="3"/>
  <c r="M18" i="3"/>
  <c r="I18" i="3"/>
  <c r="G18" i="3"/>
  <c r="R11" i="3"/>
  <c r="F77" i="3"/>
  <c r="F109" i="3"/>
  <c r="F131" i="3"/>
  <c r="P74" i="3" l="1"/>
  <c r="H74" i="3"/>
  <c r="F128" i="3"/>
  <c r="O40" i="3"/>
  <c r="F79" i="3"/>
  <c r="L74" i="3"/>
  <c r="F28" i="3"/>
  <c r="N96" i="3"/>
  <c r="F41" i="3"/>
  <c r="J40" i="3"/>
  <c r="P40" i="3"/>
  <c r="R40" i="3"/>
  <c r="F37" i="3"/>
  <c r="F120" i="3"/>
  <c r="F123" i="3"/>
  <c r="L96" i="3"/>
  <c r="P96" i="3"/>
  <c r="F72" i="3"/>
  <c r="F71" i="3" s="1"/>
  <c r="F70" i="3" s="1"/>
  <c r="H71" i="3"/>
  <c r="H70" i="3" s="1"/>
  <c r="F64" i="3"/>
  <c r="Q40" i="3"/>
  <c r="I40" i="3"/>
  <c r="M40" i="3"/>
  <c r="G40" i="3"/>
  <c r="K40" i="3"/>
  <c r="H40" i="3"/>
  <c r="N40" i="3"/>
  <c r="L40" i="3"/>
  <c r="F53" i="3"/>
  <c r="F23" i="3"/>
  <c r="F19" i="3"/>
  <c r="F18" i="3" s="1"/>
  <c r="H18" i="3"/>
  <c r="J96" i="3"/>
  <c r="O96" i="3"/>
  <c r="G96" i="3"/>
  <c r="R96" i="3"/>
  <c r="F106" i="3"/>
  <c r="R10" i="3"/>
  <c r="Q10" i="3"/>
  <c r="F112" i="3"/>
  <c r="F97" i="3"/>
  <c r="F74" i="3"/>
  <c r="F48" i="3"/>
  <c r="F31" i="3"/>
  <c r="F119" i="3" l="1"/>
  <c r="F40" i="3"/>
  <c r="Q9" i="3"/>
  <c r="R9" i="3"/>
  <c r="F96" i="3"/>
  <c r="P15" i="3"/>
  <c r="P11" i="3"/>
  <c r="O15" i="3" l="1"/>
  <c r="P10" i="3"/>
  <c r="P9" i="3" s="1"/>
  <c r="O11" i="3"/>
  <c r="N15" i="3" l="1"/>
  <c r="O10" i="3"/>
  <c r="O9" i="3" s="1"/>
  <c r="N11" i="3"/>
  <c r="N10" i="3" l="1"/>
  <c r="N9" i="3" s="1"/>
  <c r="M15" i="3"/>
  <c r="M11" i="3"/>
  <c r="M10" i="3" l="1"/>
  <c r="M9" i="3" s="1"/>
  <c r="L15" i="3"/>
  <c r="L11" i="3"/>
  <c r="K15" i="3" l="1"/>
  <c r="L10" i="3"/>
  <c r="L9" i="3" s="1"/>
  <c r="K11" i="3"/>
  <c r="J15" i="3" l="1"/>
  <c r="K10" i="3"/>
  <c r="K9" i="3" s="1"/>
  <c r="J11" i="3"/>
  <c r="J10" i="3" l="1"/>
  <c r="J9" i="3" s="1"/>
  <c r="I15" i="3"/>
  <c r="I11" i="3"/>
  <c r="I10" i="3" l="1"/>
  <c r="I9" i="3" s="1"/>
  <c r="H15" i="3"/>
  <c r="H11" i="3"/>
  <c r="G15" i="3" l="1"/>
  <c r="F16" i="3"/>
  <c r="H10" i="3"/>
  <c r="H9" i="3" s="1"/>
  <c r="F11" i="3"/>
  <c r="G11" i="3"/>
  <c r="G10" i="3" l="1"/>
  <c r="G9" i="3" s="1"/>
  <c r="F15" i="3"/>
  <c r="F10" i="3" s="1"/>
  <c r="F9" i="3" s="1"/>
</calcChain>
</file>

<file path=xl/sharedStrings.xml><?xml version="1.0" encoding="utf-8"?>
<sst xmlns="http://schemas.openxmlformats.org/spreadsheetml/2006/main" count="140" uniqueCount="126">
  <si>
    <t>TUXTLA GUTIÉRREZ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</si>
  <si>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</si>
  <si>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</si>
  <si>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</si>
  <si>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</si>
  <si>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</si>
  <si>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</si>
  <si>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</si>
  <si>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</si>
  <si>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</si>
  <si>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</si>
  <si>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</si>
  <si>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</si>
  <si>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</si>
  <si>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</si>
  <si>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</si>
  <si>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TOTAL DE INGRESOS 2023</t>
  </si>
  <si>
    <t>Impuestos sobre los Ingresos.</t>
  </si>
  <si>
    <t>Del Impuesto sobre Diversiones y Espectáculos Públicos.</t>
  </si>
  <si>
    <t>Del Impuesto sobre Juegos Permitidos, Rifas, Sorteos y Loterías.</t>
  </si>
  <si>
    <t>Del Impuesto Sobre el Uso de Inmuebles Destinados a la Prestación de Hospedaje</t>
  </si>
  <si>
    <t>Impuestos sobre el patrimonio</t>
  </si>
  <si>
    <t>Del Impuesto Predial.</t>
  </si>
  <si>
    <t>Del Impuesto Sobre Fraccionamientos</t>
  </si>
  <si>
    <t>Impuestos sobre la producción, el consumo y las transacciones.</t>
  </si>
  <si>
    <t>Del Impuesto sobre Traslación de Dominio de Bienes Inmuebles</t>
  </si>
  <si>
    <t>Impuestos al Comercio Exterior.</t>
  </si>
  <si>
    <t>Impuestos Ecológicos.</t>
  </si>
  <si>
    <t>Accesorios de Impuestos.</t>
  </si>
  <si>
    <t>Recargos.</t>
  </si>
  <si>
    <t>Sanciones.</t>
  </si>
  <si>
    <t>Gastos de Ejecución.</t>
  </si>
  <si>
    <t>Indemnizaciones.</t>
  </si>
  <si>
    <t>Otros Impuestos.</t>
  </si>
  <si>
    <t>Del Impuesto no comprendidos en los tipos anteriores</t>
  </si>
  <si>
    <t>Impuestos no Comprendidos en la Ley de Ingresos Vigente, Causados en Ejercicios Fiscales Anteriores Pendientes de Liquidación o Pago.</t>
  </si>
  <si>
    <t>CUOTAS Y APORTACIONES DE SEGURIDAD SOCIAL.</t>
  </si>
  <si>
    <t>Aportaciones para Fondos de Vivienda.</t>
  </si>
  <si>
    <t>Cuotas para la Seguridad Social.</t>
  </si>
  <si>
    <t>Cuotas de Ahorro para el Retiro.</t>
  </si>
  <si>
    <t>Otras Cuotas y Aportaciones para la Seguridad</t>
  </si>
  <si>
    <t>Accesorios de Cuotas y Aportaciones de Seguridad Social.</t>
  </si>
  <si>
    <t>CONTRIBUCIONES DE MEJORAS.</t>
  </si>
  <si>
    <t>Contribución de Mejoras por Obras Públicas.</t>
  </si>
  <si>
    <t>Contribuciones de Mejoras No Comprendidas en la Ley de Ingresos Vigente, Causadas en Ejercicios Fiscales Anteriores Pendientes de Liquidación o Pago.</t>
  </si>
  <si>
    <t>DERECHOS.</t>
  </si>
  <si>
    <t>Derechos por el Uso, Goce, Aprovechamiento o Explotación de Bienes de Dominio Público.</t>
  </si>
  <si>
    <t>De los mercados y otros sitios.</t>
  </si>
  <si>
    <t>Del Uso de la Vía Pública o de otros Bienes de Uso Común.</t>
  </si>
  <si>
    <t>De los Panteones.</t>
  </si>
  <si>
    <t>De los Servicios para Estacionamientos.</t>
  </si>
  <si>
    <t>Por el uso de instalaciones</t>
  </si>
  <si>
    <t>De los servicios de recolección, transportación, tratamiento y destino final de residuos sólidos.</t>
  </si>
  <si>
    <t>Derechos por Prestación de Servicios.</t>
  </si>
  <si>
    <t>De Agua Potable, Drenaje, Alcantarillado y Saneamiento.</t>
  </si>
  <si>
    <t>De limpieza de baldíos</t>
  </si>
  <si>
    <t>Otros Derechos.</t>
  </si>
  <si>
    <t>Del Rastro e Inspección Sanitaria.</t>
  </si>
  <si>
    <t>De las Certificaciones.</t>
  </si>
  <si>
    <t>De las licencias y refrendos de funcionamiento comercial, industrial y de servicios.</t>
  </si>
  <si>
    <t>Acceso a la información pública.</t>
  </si>
  <si>
    <t>Otros no especificados.</t>
  </si>
  <si>
    <t>Accesorios de Derechos.</t>
  </si>
  <si>
    <t>Derechos no Comprendidos en la Ley de Ingresos Vigente, Causados en Ejercicios Fiscales Anteriores Pendientes de Liquidación o pago.</t>
  </si>
  <si>
    <t>PRODUCTOS.</t>
  </si>
  <si>
    <t>Productos</t>
  </si>
  <si>
    <t>De los Productos diversos.</t>
  </si>
  <si>
    <t>Productos no Comprendidos en la Ley de Ingresos Vigente, Causados en Ejercicios Fiscales Anteriores Pendientes de Liquidación o Pago.</t>
  </si>
  <si>
    <t>APROVECHAMIENTOS.</t>
  </si>
  <si>
    <t>Rezagos</t>
  </si>
  <si>
    <t>Aprovechamientos.</t>
  </si>
  <si>
    <t>Aprovechamientos patrimoniales.</t>
  </si>
  <si>
    <t>Venta o explotación de bienes muebles e inmuebles propiedad del Municipio.</t>
  </si>
  <si>
    <t>Accesorios de Aprovechamientos.</t>
  </si>
  <si>
    <t>Recargos</t>
  </si>
  <si>
    <t>Sanciones</t>
  </si>
  <si>
    <t>Otros aprovechamientos.</t>
  </si>
  <si>
    <t>Aprovechamientos no Comprendidos en la Ley de Ingresos Vigente, Causados en Ejercicios Fiscales Anteriores Pendientes de Liquidación o Pago.</t>
  </si>
  <si>
    <t>INGRESOS POR VENTA DE BIENES, PRESTACIÓN DE SERVICIOS Y OTROS INGRESOS.</t>
  </si>
  <si>
    <t>Ingresos por Venta de Bienes y Prestación de Servicios de Instituciones Públicas de Seguridad Social.</t>
  </si>
  <si>
    <t>Ingresos por Venta de Bienes y Prestación de Servicios de Empresas Productivas del Estado.</t>
  </si>
  <si>
    <t>Ingresos por Venta de Bienes y Prestación de Servicios de Entidades Paraestatales y Fideicomisos No Empresariales y No Financieros.</t>
  </si>
  <si>
    <t>Ingresos por Venta de Bienes y Prestación de Servicios de Entidades Paraestatales Empresariales No Financieras con Participación Estatal Mayoritaria.</t>
  </si>
  <si>
    <t>Ingresos por Venta de Bienes y Prestación de Servicios de Entidades Paraestatales Empresariales Financieras Monetarias con Participación Estatal Mayoritaria.</t>
  </si>
  <si>
    <t>Ingresos por Venta de Bienes y Prestación de Servicios de Entidades Paraestatales Empresariales Financieras No Monetarias con Participación Estatal Mayoritaria.</t>
  </si>
  <si>
    <t>Ingresos por Venta de Bienes y Prestación de Servicios de Fideicomisos Financieros Públicos con Participación Estatal Mayoritaria.</t>
  </si>
  <si>
    <t>Ingresos por Venta de Bienes y Prestación de Servicios de los Poderes Legislativo y Judicial, y de los Órganos Autónomos.</t>
  </si>
  <si>
    <t>Otros Ingresos.</t>
  </si>
  <si>
    <t>PARTICIPACIONES, APORTACIONES, CONVENIOS E INCENTVOS DERIVADOS DE LA COLABORACIÓN FISCAL Y FONDOS DISTINTOS DE APORTACIONES</t>
  </si>
  <si>
    <t>Participaciones.</t>
  </si>
  <si>
    <t>Fondo General de Participaciones.</t>
  </si>
  <si>
    <t>Fondo de Fomento Municipal.</t>
  </si>
  <si>
    <t>Fondo de Fiscalización y Recaudación.</t>
  </si>
  <si>
    <t>Fondo de Compensación.</t>
  </si>
  <si>
    <t>Fondo de Extracción de Hidrocarburos.</t>
  </si>
  <si>
    <t>Impuesto Especial Sobre Producción y Servicios.</t>
  </si>
  <si>
    <t>Gasolina y Diesel.</t>
  </si>
  <si>
    <t>Fondo de Estabilización de los Ingresos de las Entidades Federativas.</t>
  </si>
  <si>
    <t>Aportaciones</t>
  </si>
  <si>
    <t>Fondo de Aportaciones para la Infraestructura Social Municipal.</t>
  </si>
  <si>
    <t>Fondo de Aportaciones para el Fortalecimiento de los Municipios y las Demarcaciones Territoriales del D.F.</t>
  </si>
  <si>
    <t>Convenios</t>
  </si>
  <si>
    <t>Bebidas Alcohólicas.</t>
  </si>
  <si>
    <t>Otros.</t>
  </si>
  <si>
    <t>Incentivos Derivados de la Colaboración Fiscal</t>
  </si>
  <si>
    <t>Sobre Tenencia o Uso de Vehículos.</t>
  </si>
  <si>
    <t>Fondo de Compensación del ISAN.</t>
  </si>
  <si>
    <t>Impuesto Sobre Automóviles Nuevos.</t>
  </si>
  <si>
    <t>Fondo de Compensación de Repecos-Intermedios.</t>
  </si>
  <si>
    <t>Otros Incentivos Económicos.</t>
  </si>
  <si>
    <t>Fondos Distintos de Aportaciones.</t>
  </si>
  <si>
    <t>TRANSFERENCIAS, ASIGNACIONES, SUBSIDIOS Y SUBVENCIONES, Y PENSIONES Y JUBILACIONES.</t>
  </si>
  <si>
    <t>Transferencias y Asignaciones.</t>
  </si>
  <si>
    <t>Del Gobierno Federal.</t>
  </si>
  <si>
    <t>Del Gobierno del Estado.</t>
  </si>
  <si>
    <t>Subsidios y Subvenciones.</t>
  </si>
  <si>
    <t>Pensiones y Jubilaciones.</t>
  </si>
  <si>
    <t>Transferencias del Fondo Mexicano del Petróleo para la Estabilización y el Desarrollo.</t>
  </si>
  <si>
    <t>INGRESOS DERIVADOS DE FINANCIAMIENTOS</t>
  </si>
  <si>
    <t>Endeudamiento interno</t>
  </si>
  <si>
    <t>Endeudamiento externo</t>
  </si>
  <si>
    <t>Financiamiento Interno</t>
  </si>
  <si>
    <t>Financiamientos</t>
  </si>
  <si>
    <r>
      <t>Impuestos sobre Nóminas y Asimilables</t>
    </r>
    <r>
      <rPr>
        <sz val="8"/>
        <rFont val="Arial"/>
        <family val="2"/>
      </rPr>
      <t>.</t>
    </r>
  </si>
  <si>
    <t>CALENDARIO DE INGRESOS ESTIMADOS PARA EL EJERCICIO 2024</t>
  </si>
  <si>
    <t>De los anuncios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</si>
</sst>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top"/>
    </xf>
    <xf numFmtId="0" fontId="1" fillId="0" borderId="0">
      <alignment vertical="top"/>
    </xf>
    <xf numFmtId="44" fontId="6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2">
    <xf numFmtId="0" fontId="0" fillId="0" borderId="0" xfId="0">
      <alignment vertical="top"/>
    </xf>
    <xf numFmtId="164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>
      <alignment vertical="top"/>
    </xf>
    <xf numFmtId="0" fontId="1" fillId="0" borderId="0" xfId="1" applyFill="1" applyBorder="1">
      <alignment vertical="top"/>
    </xf>
    <xf numFmtId="2" fontId="1" fillId="0" borderId="0" xfId="1" applyNumberFormat="1" applyFill="1" applyBorder="1">
      <alignment vertical="top"/>
    </xf>
    <xf numFmtId="0" fontId="4" fillId="0" borderId="0" xfId="1" applyFont="1" applyFill="1" applyBorder="1" applyAlignment="1">
      <alignment horizontal="center" vertical="top" wrapText="1" readingOrder="1"/>
    </xf>
    <xf numFmtId="0" fontId="4" fillId="0" borderId="0" xfId="1" applyFont="1" applyFill="1" applyBorder="1" applyAlignment="1">
      <alignment vertical="top" wrapText="1" readingOrder="1"/>
    </xf>
    <xf numFmtId="0" fontId="5" fillId="0" borderId="0" xfId="0" applyFont="1" applyFill="1" applyBorder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justify" vertical="center" wrapText="1" readingOrder="1"/>
    </xf>
    <xf numFmtId="0" fontId="7" fillId="0" borderId="0" xfId="0" applyFont="1" applyFill="1" applyBorder="1" applyAlignment="1">
      <alignment horizontal="justify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7" fontId="5" fillId="0" borderId="0" xfId="0" applyNumberFormat="1" applyFont="1" applyFill="1" applyBorder="1">
      <alignment vertical="top"/>
    </xf>
    <xf numFmtId="7" fontId="7" fillId="0" borderId="0" xfId="0" applyNumberFormat="1" applyFont="1" applyFill="1" applyBorder="1" applyAlignment="1">
      <alignment horizontal="center" vertical="center" wrapText="1"/>
    </xf>
    <xf numFmtId="7" fontId="7" fillId="0" borderId="0" xfId="2" applyNumberFormat="1" applyFont="1" applyFill="1" applyBorder="1" applyAlignment="1">
      <alignment vertical="center" wrapText="1"/>
    </xf>
    <xf numFmtId="7" fontId="8" fillId="0" borderId="0" xfId="2" applyNumberFormat="1" applyFont="1" applyFill="1" applyBorder="1" applyAlignment="1">
      <alignment vertical="center" wrapText="1"/>
    </xf>
    <xf numFmtId="7" fontId="8" fillId="0" borderId="0" xfId="2" applyNumberFormat="1" applyFont="1" applyFill="1" applyBorder="1"/>
    <xf numFmtId="0" fontId="8" fillId="0" borderId="0" xfId="0" applyFont="1" applyFill="1" applyBorder="1">
      <alignment vertical="top"/>
    </xf>
    <xf numFmtId="0" fontId="7" fillId="0" borderId="0" xfId="0" applyFont="1" applyFill="1" applyBorder="1">
      <alignment vertical="top"/>
    </xf>
    <xf numFmtId="164" fontId="5" fillId="0" borderId="0" xfId="1" applyNumberFormat="1" applyFont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5" fontId="7" fillId="0" borderId="0" xfId="0" applyNumberFormat="1" applyFont="1" applyFill="1" applyBorder="1" applyAlignment="1">
      <alignment horizontal="center" vertical="center" wrapText="1"/>
    </xf>
    <xf numFmtId="5" fontId="7" fillId="0" borderId="0" xfId="2" applyNumberFormat="1" applyFont="1" applyFill="1" applyBorder="1" applyAlignment="1">
      <alignment vertical="center" wrapText="1"/>
    </xf>
    <xf numFmtId="5" fontId="8" fillId="0" borderId="0" xfId="2" applyNumberFormat="1" applyFont="1" applyFill="1" applyBorder="1" applyAlignment="1">
      <alignment vertical="center" wrapText="1"/>
    </xf>
    <xf numFmtId="5" fontId="8" fillId="0" borderId="0" xfId="2" applyNumberFormat="1" applyFont="1" applyFill="1" applyBorder="1"/>
    <xf numFmtId="5" fontId="8" fillId="0" borderId="0" xfId="2" applyNumberFormat="1" applyFont="1" applyFill="1" applyBorder="1" applyAlignment="1">
      <alignment vertical="top" wrapText="1"/>
    </xf>
    <xf numFmtId="43" fontId="5" fillId="0" borderId="0" xfId="3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 readingOrder="1"/>
    </xf>
    <xf numFmtId="0" fontId="4" fillId="0" borderId="0" xfId="1" applyFont="1" applyFill="1" applyBorder="1" applyAlignment="1">
      <alignment horizontal="center" vertical="top" wrapText="1" readingOrder="1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showGridLines="0" tabSelected="1" topLeftCell="B1" zoomScaleNormal="100" workbookViewId="0">
      <selection activeCell="D4" sqref="D4:R4"/>
    </sheetView>
  </sheetViews>
  <sheetFormatPr baseColWidth="10" defaultRowHeight="12.75" x14ac:dyDescent="0.2"/>
  <cols>
    <col min="1" max="1" width="0.85546875" style="2" hidden="1" customWidth="1"/>
    <col min="2" max="3" width="0.85546875" style="2" customWidth="1"/>
    <col min="4" max="4" width="65.42578125" style="2" bestFit="1" customWidth="1"/>
    <col min="5" max="5" width="1.7109375" style="2" customWidth="1"/>
    <col min="6" max="6" width="11.7109375" style="2" bestFit="1" customWidth="1"/>
    <col min="7" max="14" width="15.42578125" style="2" bestFit="1" customWidth="1"/>
    <col min="15" max="15" width="18.85546875" style="2" bestFit="1" customWidth="1"/>
    <col min="16" max="18" width="15.42578125" style="2" bestFit="1" customWidth="1"/>
    <col min="19" max="20" width="14.7109375" style="2" bestFit="1" customWidth="1"/>
    <col min="21" max="16384" width="11.42578125" style="2"/>
  </cols>
  <sheetData>
    <row r="1" spans="2:20" ht="12.7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0" ht="12.75" customHeight="1" x14ac:dyDescent="0.2"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20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ht="12.75" customHeight="1" x14ac:dyDescent="0.2">
      <c r="B4" s="3"/>
      <c r="C4" s="3"/>
      <c r="D4" s="30" t="s">
        <v>124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20" x14ac:dyDescent="0.2">
      <c r="B5" s="3"/>
      <c r="C5" s="3"/>
      <c r="D5" s="3"/>
      <c r="E5" s="4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20" ht="12.75" customHeight="1" x14ac:dyDescent="0.2">
      <c r="B6" s="31" t="s">
        <v>1</v>
      </c>
      <c r="C6" s="31"/>
      <c r="D6" s="31"/>
      <c r="E6" s="31"/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6" t="s">
        <v>14</v>
      </c>
    </row>
    <row r="7" spans="2:20" ht="6" customHeight="1" x14ac:dyDescent="0.2"/>
    <row r="8" spans="2:20" ht="6" customHeight="1" x14ac:dyDescent="0.2"/>
    <row r="9" spans="2:20" s="7" customFormat="1" ht="11.25" customHeight="1" x14ac:dyDescent="0.2">
      <c r="D9" s="8" t="s">
        <v>16</v>
      </c>
      <c r="E9" s="19"/>
      <c r="F9" s="23">
        <f>F10+F31+F37+F40+F70+F74+F86+F96+F119+F128</f>
        <v>3205507876.9911728</v>
      </c>
      <c r="G9" s="15">
        <f>G10+G31+G37+G40+G70+G74+G86+G96+G119+G128</f>
        <v>426553522.59735465</v>
      </c>
      <c r="H9" s="15">
        <f t="shared" ref="H9:R9" si="0">H10+H31+H37+H40+H70+H74+H86+H96+H119+H128</f>
        <v>343940026.58581126</v>
      </c>
      <c r="I9" s="15">
        <f t="shared" si="0"/>
        <v>279279598.20857996</v>
      </c>
      <c r="J9" s="15">
        <f t="shared" si="0"/>
        <v>272566514.43756044</v>
      </c>
      <c r="K9" s="15">
        <f t="shared" si="0"/>
        <v>243089887.35407674</v>
      </c>
      <c r="L9" s="15">
        <f t="shared" si="0"/>
        <v>249759576.86788815</v>
      </c>
      <c r="M9" s="15">
        <f t="shared" si="0"/>
        <v>237500989.64200455</v>
      </c>
      <c r="N9" s="15">
        <f t="shared" si="0"/>
        <v>239346667.4685443</v>
      </c>
      <c r="O9" s="15">
        <f t="shared" si="0"/>
        <v>231662250.20119107</v>
      </c>
      <c r="P9" s="15">
        <f t="shared" si="0"/>
        <v>219020488.81760195</v>
      </c>
      <c r="Q9" s="15">
        <f t="shared" si="0"/>
        <v>229867196.08029252</v>
      </c>
      <c r="R9" s="15">
        <f t="shared" si="0"/>
        <v>232921158.73026571</v>
      </c>
      <c r="S9" s="14"/>
      <c r="T9" s="14"/>
    </row>
    <row r="10" spans="2:20" s="7" customFormat="1" ht="11.25" x14ac:dyDescent="0.2">
      <c r="D10" s="9" t="s">
        <v>15</v>
      </c>
      <c r="E10" s="19"/>
      <c r="F10" s="24">
        <f>F11+F15+F18+F20+F21+F22+F23+F28+F30</f>
        <v>360092426.99527729</v>
      </c>
      <c r="G10" s="16">
        <f t="shared" ref="G10:R10" si="1">G11+G15+G18+G20+G21+G22+G23+G28+G30</f>
        <v>119411043.40687706</v>
      </c>
      <c r="H10" s="16">
        <f t="shared" si="1"/>
        <v>29887548.801448639</v>
      </c>
      <c r="I10" s="16">
        <f t="shared" si="1"/>
        <v>24916562.377226729</v>
      </c>
      <c r="J10" s="16">
        <f t="shared" si="1"/>
        <v>20329231.140133958</v>
      </c>
      <c r="K10" s="16">
        <f t="shared" si="1"/>
        <v>20308424.839253079</v>
      </c>
      <c r="L10" s="16">
        <f t="shared" si="1"/>
        <v>20321871.128599178</v>
      </c>
      <c r="M10" s="16">
        <f t="shared" si="1"/>
        <v>19361032.488234658</v>
      </c>
      <c r="N10" s="16">
        <f t="shared" si="1"/>
        <v>19091419.82701866</v>
      </c>
      <c r="O10" s="16">
        <f t="shared" si="1"/>
        <v>19520701.163538657</v>
      </c>
      <c r="P10" s="16">
        <f t="shared" si="1"/>
        <v>19891883.960316196</v>
      </c>
      <c r="Q10" s="16">
        <f t="shared" si="1"/>
        <v>21737525.060408507</v>
      </c>
      <c r="R10" s="16">
        <f t="shared" si="1"/>
        <v>25315182.80222201</v>
      </c>
    </row>
    <row r="11" spans="2:20" s="7" customFormat="1" ht="11.25" x14ac:dyDescent="0.2">
      <c r="D11" s="9" t="s">
        <v>17</v>
      </c>
      <c r="E11" s="19"/>
      <c r="F11" s="24">
        <f>SUM(F12:F14)</f>
        <v>4306460.9999999953</v>
      </c>
      <c r="G11" s="16">
        <f t="shared" ref="G11:R11" si="2">SUM(G12:G14)</f>
        <v>358871.74999999965</v>
      </c>
      <c r="H11" s="16">
        <f t="shared" si="2"/>
        <v>358871.74999999965</v>
      </c>
      <c r="I11" s="16">
        <f t="shared" si="2"/>
        <v>358871.74999999965</v>
      </c>
      <c r="J11" s="16">
        <f t="shared" si="2"/>
        <v>358871.74999999965</v>
      </c>
      <c r="K11" s="16">
        <f t="shared" si="2"/>
        <v>358871.74999999965</v>
      </c>
      <c r="L11" s="16">
        <f t="shared" si="2"/>
        <v>358871.74999999965</v>
      </c>
      <c r="M11" s="16">
        <f t="shared" si="2"/>
        <v>358871.74999999965</v>
      </c>
      <c r="N11" s="16">
        <f t="shared" si="2"/>
        <v>358871.74999999965</v>
      </c>
      <c r="O11" s="16">
        <f t="shared" si="2"/>
        <v>358871.74999999965</v>
      </c>
      <c r="P11" s="16">
        <f t="shared" si="2"/>
        <v>358871.74999999965</v>
      </c>
      <c r="Q11" s="16">
        <f t="shared" si="2"/>
        <v>358871.74999999965</v>
      </c>
      <c r="R11" s="16">
        <f t="shared" si="2"/>
        <v>358871.74999999965</v>
      </c>
    </row>
    <row r="12" spans="2:20" s="7" customFormat="1" ht="11.25" x14ac:dyDescent="0.2">
      <c r="D12" s="10" t="s">
        <v>18</v>
      </c>
      <c r="E12" s="19"/>
      <c r="F12" s="25">
        <f>SUM(G12:R12)</f>
        <v>1150852.9999999993</v>
      </c>
      <c r="G12" s="17">
        <v>95904.416666666599</v>
      </c>
      <c r="H12" s="17">
        <v>95904.416666666599</v>
      </c>
      <c r="I12" s="17">
        <v>95904.416666666599</v>
      </c>
      <c r="J12" s="17">
        <v>95904.416666666599</v>
      </c>
      <c r="K12" s="17">
        <v>95904.416666666599</v>
      </c>
      <c r="L12" s="17">
        <v>95904.416666666599</v>
      </c>
      <c r="M12" s="17">
        <v>95904.416666666599</v>
      </c>
      <c r="N12" s="17">
        <v>95904.416666666599</v>
      </c>
      <c r="O12" s="17">
        <v>95904.416666666599</v>
      </c>
      <c r="P12" s="17">
        <v>95904.416666666599</v>
      </c>
      <c r="Q12" s="17">
        <v>95904.416666666599</v>
      </c>
      <c r="R12" s="17">
        <v>95904.416666666599</v>
      </c>
    </row>
    <row r="13" spans="2:20" s="7" customFormat="1" ht="11.25" x14ac:dyDescent="0.2">
      <c r="D13" s="10" t="s">
        <v>19</v>
      </c>
      <c r="E13" s="19"/>
      <c r="F13" s="25">
        <f t="shared" ref="F13" si="3">SUM(G13:R13)</f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2:20" s="7" customFormat="1" ht="11.25" x14ac:dyDescent="0.2">
      <c r="D14" s="10" t="s">
        <v>20</v>
      </c>
      <c r="E14" s="19"/>
      <c r="F14" s="25">
        <f>SUM(G14:R14)</f>
        <v>3155607.9999999963</v>
      </c>
      <c r="G14" s="28">
        <v>262967.33333333302</v>
      </c>
      <c r="H14" s="28">
        <v>262967.33333333302</v>
      </c>
      <c r="I14" s="28">
        <v>262967.33333333302</v>
      </c>
      <c r="J14" s="28">
        <v>262967.33333333302</v>
      </c>
      <c r="K14" s="28">
        <v>262967.33333333302</v>
      </c>
      <c r="L14" s="28">
        <v>262967.33333333302</v>
      </c>
      <c r="M14" s="28">
        <v>262967.33333333302</v>
      </c>
      <c r="N14" s="28">
        <v>262967.33333333302</v>
      </c>
      <c r="O14" s="28">
        <v>262967.33333333302</v>
      </c>
      <c r="P14" s="28">
        <v>262967.33333333302</v>
      </c>
      <c r="Q14" s="28">
        <v>262967.33333333302</v>
      </c>
      <c r="R14" s="28">
        <v>262967.33333333302</v>
      </c>
    </row>
    <row r="15" spans="2:20" s="7" customFormat="1" ht="11.25" x14ac:dyDescent="0.2">
      <c r="D15" s="9" t="s">
        <v>21</v>
      </c>
      <c r="E15" s="19"/>
      <c r="F15" s="24">
        <f>SUM(F16:F17)</f>
        <v>210799492.99971172</v>
      </c>
      <c r="G15" s="16">
        <f t="shared" ref="G15:R15" si="4">SUM(G16:G17)</f>
        <v>104538245.77540132</v>
      </c>
      <c r="H15" s="16">
        <f t="shared" si="4"/>
        <v>18218506.71714073</v>
      </c>
      <c r="I15" s="16">
        <f t="shared" si="4"/>
        <v>12769130.767328933</v>
      </c>
      <c r="J15" s="16">
        <f t="shared" si="4"/>
        <v>8769054.9807381332</v>
      </c>
      <c r="K15" s="16">
        <f t="shared" si="4"/>
        <v>8247437.4011093332</v>
      </c>
      <c r="L15" s="16">
        <f t="shared" si="4"/>
        <v>7819735.3587373327</v>
      </c>
      <c r="M15" s="16">
        <f t="shared" si="4"/>
        <v>7725233.9297413332</v>
      </c>
      <c r="N15" s="16">
        <f t="shared" si="4"/>
        <v>7921158.1674893331</v>
      </c>
      <c r="O15" s="16">
        <f t="shared" si="4"/>
        <v>7691698.2850933326</v>
      </c>
      <c r="P15" s="16">
        <f t="shared" si="4"/>
        <v>7780142.0390013326</v>
      </c>
      <c r="Q15" s="16">
        <f t="shared" si="4"/>
        <v>8130380.223805273</v>
      </c>
      <c r="R15" s="16">
        <f t="shared" si="4"/>
        <v>11188769.354125332</v>
      </c>
    </row>
    <row r="16" spans="2:20" s="7" customFormat="1" ht="11.25" x14ac:dyDescent="0.2">
      <c r="D16" s="10" t="s">
        <v>22</v>
      </c>
      <c r="E16" s="19"/>
      <c r="F16" s="25">
        <f>SUM(G16:R16)</f>
        <v>210799492.99971172</v>
      </c>
      <c r="G16" s="21">
        <f>103612606.442068+250000+675639.333333333</f>
        <v>104538245.77540132</v>
      </c>
      <c r="H16" s="21">
        <f>17292867.3838074+250000+675639.333333333</f>
        <v>18218506.71714073</v>
      </c>
      <c r="I16" s="21">
        <f>11843491.4339956+250000+675639.333333333</f>
        <v>12769130.767328933</v>
      </c>
      <c r="J16" s="21">
        <f>7843415.6474048+250000+675639.333333333</f>
        <v>8769054.9807381332</v>
      </c>
      <c r="K16" s="21">
        <f>7321798.067776+250000+675639.333333333</f>
        <v>8247437.4011093332</v>
      </c>
      <c r="L16" s="21">
        <f>6894096.025404+250000+675639.333333333</f>
        <v>7819735.3587373327</v>
      </c>
      <c r="M16" s="21">
        <f>6799594.596408+250000+675639.333333333</f>
        <v>7725233.9297413332</v>
      </c>
      <c r="N16" s="21">
        <f>6995518.834156+250000+675639.333333333</f>
        <v>7921158.1674893331</v>
      </c>
      <c r="O16" s="21">
        <f>6766058.95176+250000+675639.333333333</f>
        <v>7691698.2850933326</v>
      </c>
      <c r="P16" s="21">
        <f>6854502.705668+250000+675639.333333333</f>
        <v>7780142.0390013326</v>
      </c>
      <c r="Q16" s="21">
        <f>7204740.89047194+250000+675639.333333333</f>
        <v>8130380.223805273</v>
      </c>
      <c r="R16" s="21">
        <f>10433198.020792+79932+675639.333333333</f>
        <v>11188769.354125332</v>
      </c>
    </row>
    <row r="17" spans="4:18" s="7" customFormat="1" ht="11.25" x14ac:dyDescent="0.2">
      <c r="D17" s="10" t="s">
        <v>23</v>
      </c>
      <c r="E17" s="19"/>
      <c r="F17" s="25">
        <f>SUM(G17:R17)</f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</row>
    <row r="18" spans="4:18" s="7" customFormat="1" ht="11.25" x14ac:dyDescent="0.2">
      <c r="D18" s="9" t="s">
        <v>24</v>
      </c>
      <c r="E18" s="19"/>
      <c r="F18" s="24">
        <f>F19</f>
        <v>91381532.995565698</v>
      </c>
      <c r="G18" s="16">
        <f t="shared" ref="G18:R18" si="5">G19</f>
        <v>10046847.5481424</v>
      </c>
      <c r="H18" s="16">
        <f t="shared" si="5"/>
        <v>6843092.0009745797</v>
      </c>
      <c r="I18" s="16">
        <f t="shared" si="5"/>
        <v>7321481.5265644705</v>
      </c>
      <c r="J18" s="16">
        <f t="shared" si="5"/>
        <v>6734226.0760625005</v>
      </c>
      <c r="K18" s="16">
        <f t="shared" si="5"/>
        <v>7235037.3548104204</v>
      </c>
      <c r="L18" s="16">
        <f t="shared" si="5"/>
        <v>7676185.6865285197</v>
      </c>
      <c r="M18" s="16">
        <f t="shared" si="5"/>
        <v>6809848.4751599999</v>
      </c>
      <c r="N18" s="16">
        <f t="shared" si="5"/>
        <v>6344311.576196</v>
      </c>
      <c r="O18" s="16">
        <f t="shared" si="5"/>
        <v>7003052.7951119998</v>
      </c>
      <c r="P18" s="16">
        <f t="shared" si="5"/>
        <v>7285791.8379815398</v>
      </c>
      <c r="Q18" s="16">
        <f t="shared" si="5"/>
        <v>8781194.7532699108</v>
      </c>
      <c r="R18" s="16">
        <f t="shared" si="5"/>
        <v>9300463.3647633493</v>
      </c>
    </row>
    <row r="19" spans="4:18" s="7" customFormat="1" ht="11.25" x14ac:dyDescent="0.2">
      <c r="D19" s="10" t="s">
        <v>25</v>
      </c>
      <c r="E19" s="19"/>
      <c r="F19" s="25">
        <f>SUM(G19:R19)</f>
        <v>91381532.995565698</v>
      </c>
      <c r="G19" s="21">
        <f>7633415.4881424-699787.69+795436.25+1024894+1000000+292889.5</f>
        <v>10046847.5481424</v>
      </c>
      <c r="H19" s="21">
        <f>4429669.84097458-699787.59+795436.25+1024884+1000000+292889.5</f>
        <v>6843092.0009745797</v>
      </c>
      <c r="I19" s="21">
        <f>4908059.36656447-699787.59+795436.25+1024884+1000000+292889.5</f>
        <v>7321481.5265644705</v>
      </c>
      <c r="J19" s="21">
        <f>4320803.9160625-699787.59+795436.25+1024884+1000000+292889.5</f>
        <v>6734226.0760625005</v>
      </c>
      <c r="K19" s="21">
        <f>4821615.19481042-699787.59+795436.25+1024884+1000000+292889.5</f>
        <v>7235037.3548104204</v>
      </c>
      <c r="L19" s="21">
        <f>5262763.52652852-699787.59+795436.25+1024884+1000000+292889.5</f>
        <v>7676185.6865285197</v>
      </c>
      <c r="M19" s="21">
        <f>4396426.31516-699787.59+795436.25+1024884+1000000+292889.5</f>
        <v>6809848.4751599999</v>
      </c>
      <c r="N19" s="21">
        <f>3930889.416196-699787.59+795436.25+1024884+1000000+292889.5</f>
        <v>6344311.576196</v>
      </c>
      <c r="O19" s="21">
        <f>4589630.635112-699787.59+795436.25+1024884+1000000+292889.5</f>
        <v>7003052.7951119998</v>
      </c>
      <c r="P19" s="21">
        <f>4872369.67798154-699787.59+795436.25+1024884+1000000+292889.5</f>
        <v>7285791.8379815398</v>
      </c>
      <c r="Q19" s="21">
        <f>6367772.59326991-699787.59+795436.25+1024884+1000000+292889.5</f>
        <v>8781194.7532699108</v>
      </c>
      <c r="R19" s="21">
        <f>7460068.20476335-699787.59+795436.25+1024884+426973+292889.5</f>
        <v>9300463.3647633493</v>
      </c>
    </row>
    <row r="20" spans="4:18" s="7" customFormat="1" ht="11.25" x14ac:dyDescent="0.2">
      <c r="D20" s="9" t="s">
        <v>26</v>
      </c>
      <c r="E20" s="19"/>
      <c r="F20" s="24">
        <f>SUM(G20:R20)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4:18" s="7" customFormat="1" ht="11.25" x14ac:dyDescent="0.2">
      <c r="D21" s="9" t="s">
        <v>123</v>
      </c>
      <c r="E21" s="19"/>
      <c r="F21" s="24">
        <f t="shared" ref="F21:F22" si="6">SUM(G21:R21)</f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4:18" s="7" customFormat="1" ht="11.25" x14ac:dyDescent="0.2">
      <c r="D22" s="9" t="s">
        <v>27</v>
      </c>
      <c r="E22" s="19"/>
      <c r="F22" s="24">
        <f t="shared" si="6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4:18" s="7" customFormat="1" ht="11.25" x14ac:dyDescent="0.2">
      <c r="D23" s="9" t="s">
        <v>28</v>
      </c>
      <c r="E23" s="19"/>
      <c r="F23" s="24">
        <f>SUM(F24:F27)</f>
        <v>9982630.9999999925</v>
      </c>
      <c r="G23" s="16">
        <f t="shared" ref="G23:R23" si="7">SUM(G24:G27)</f>
        <v>831885.91666666605</v>
      </c>
      <c r="H23" s="16">
        <f t="shared" si="7"/>
        <v>831885.91666666605</v>
      </c>
      <c r="I23" s="16">
        <f t="shared" si="7"/>
        <v>831885.91666666605</v>
      </c>
      <c r="J23" s="16">
        <f t="shared" si="7"/>
        <v>831885.91666666605</v>
      </c>
      <c r="K23" s="16">
        <f t="shared" si="7"/>
        <v>831885.91666666605</v>
      </c>
      <c r="L23" s="16">
        <f t="shared" si="7"/>
        <v>831885.91666666605</v>
      </c>
      <c r="M23" s="16">
        <f t="shared" si="7"/>
        <v>831885.91666666605</v>
      </c>
      <c r="N23" s="16">
        <f t="shared" si="7"/>
        <v>831885.91666666605</v>
      </c>
      <c r="O23" s="16">
        <f t="shared" si="7"/>
        <v>831885.91666666605</v>
      </c>
      <c r="P23" s="16">
        <f t="shared" si="7"/>
        <v>831885.91666666605</v>
      </c>
      <c r="Q23" s="16">
        <f t="shared" si="7"/>
        <v>831885.91666666605</v>
      </c>
      <c r="R23" s="16">
        <f t="shared" si="7"/>
        <v>831885.91666666605</v>
      </c>
    </row>
    <row r="24" spans="4:18" s="7" customFormat="1" ht="11.25" x14ac:dyDescent="0.2">
      <c r="D24" s="10" t="s">
        <v>29</v>
      </c>
      <c r="E24" s="19"/>
      <c r="F24" s="25">
        <f>SUM(G24:R24)</f>
        <v>7494525.9999999963</v>
      </c>
      <c r="G24" s="17">
        <v>624543.83333333302</v>
      </c>
      <c r="H24" s="17">
        <v>624543.83333333302</v>
      </c>
      <c r="I24" s="17">
        <v>624543.83333333302</v>
      </c>
      <c r="J24" s="17">
        <v>624543.83333333302</v>
      </c>
      <c r="K24" s="17">
        <v>624543.83333333302</v>
      </c>
      <c r="L24" s="17">
        <v>624543.83333333302</v>
      </c>
      <c r="M24" s="17">
        <v>624543.83333333302</v>
      </c>
      <c r="N24" s="17">
        <v>624543.83333333302</v>
      </c>
      <c r="O24" s="17">
        <v>624543.83333333302</v>
      </c>
      <c r="P24" s="17">
        <v>624543.83333333302</v>
      </c>
      <c r="Q24" s="17">
        <v>624543.83333333302</v>
      </c>
      <c r="R24" s="17">
        <v>624543.83333333302</v>
      </c>
    </row>
    <row r="25" spans="4:18" s="7" customFormat="1" ht="11.25" x14ac:dyDescent="0.2">
      <c r="D25" s="10" t="s">
        <v>30</v>
      </c>
      <c r="E25" s="19"/>
      <c r="F25" s="25">
        <f t="shared" ref="F25:F29" si="8">SUM(G25:R25)</f>
        <v>2323404.9999999958</v>
      </c>
      <c r="G25" s="17">
        <v>193617.08333333299</v>
      </c>
      <c r="H25" s="17">
        <v>193617.08333333299</v>
      </c>
      <c r="I25" s="17">
        <v>193617.08333333299</v>
      </c>
      <c r="J25" s="17">
        <v>193617.08333333299</v>
      </c>
      <c r="K25" s="17">
        <v>193617.08333333299</v>
      </c>
      <c r="L25" s="17">
        <v>193617.08333333299</v>
      </c>
      <c r="M25" s="17">
        <v>193617.08333333299</v>
      </c>
      <c r="N25" s="17">
        <v>193617.08333333299</v>
      </c>
      <c r="O25" s="17">
        <v>193617.08333333299</v>
      </c>
      <c r="P25" s="17">
        <v>193617.08333333299</v>
      </c>
      <c r="Q25" s="17">
        <v>193617.08333333299</v>
      </c>
      <c r="R25" s="17">
        <v>193617.08333333299</v>
      </c>
    </row>
    <row r="26" spans="4:18" s="7" customFormat="1" ht="11.25" x14ac:dyDescent="0.2">
      <c r="D26" s="10" t="s">
        <v>31</v>
      </c>
      <c r="E26" s="19"/>
      <c r="F26" s="25">
        <f t="shared" si="8"/>
        <v>164700</v>
      </c>
      <c r="G26" s="17">
        <v>13725</v>
      </c>
      <c r="H26" s="17">
        <v>13725</v>
      </c>
      <c r="I26" s="17">
        <v>13725</v>
      </c>
      <c r="J26" s="17">
        <v>13725</v>
      </c>
      <c r="K26" s="17">
        <v>13725</v>
      </c>
      <c r="L26" s="17">
        <v>13725</v>
      </c>
      <c r="M26" s="17">
        <v>13725</v>
      </c>
      <c r="N26" s="17">
        <v>13725</v>
      </c>
      <c r="O26" s="17">
        <v>13725</v>
      </c>
      <c r="P26" s="17">
        <v>13725</v>
      </c>
      <c r="Q26" s="17">
        <v>13725</v>
      </c>
      <c r="R26" s="17">
        <v>13725</v>
      </c>
    </row>
    <row r="27" spans="4:18" s="7" customFormat="1" ht="11.25" x14ac:dyDescent="0.2">
      <c r="D27" s="10" t="s">
        <v>32</v>
      </c>
      <c r="E27" s="19"/>
      <c r="F27" s="25">
        <f t="shared" si="8"/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4:18" s="7" customFormat="1" ht="11.25" x14ac:dyDescent="0.2">
      <c r="D28" s="9" t="s">
        <v>33</v>
      </c>
      <c r="E28" s="19"/>
      <c r="F28" s="25">
        <f t="shared" si="8"/>
        <v>0</v>
      </c>
      <c r="G28" s="17">
        <f t="shared" ref="G28:R28" si="9">G29</f>
        <v>0</v>
      </c>
      <c r="H28" s="17">
        <f t="shared" si="9"/>
        <v>0</v>
      </c>
      <c r="I28" s="17">
        <f t="shared" si="9"/>
        <v>0</v>
      </c>
      <c r="J28" s="17">
        <f t="shared" si="9"/>
        <v>0</v>
      </c>
      <c r="K28" s="17">
        <f t="shared" si="9"/>
        <v>0</v>
      </c>
      <c r="L28" s="17">
        <f t="shared" si="9"/>
        <v>0</v>
      </c>
      <c r="M28" s="17">
        <f t="shared" si="9"/>
        <v>0</v>
      </c>
      <c r="N28" s="17">
        <f t="shared" si="9"/>
        <v>0</v>
      </c>
      <c r="O28" s="17">
        <f t="shared" si="9"/>
        <v>0</v>
      </c>
      <c r="P28" s="17">
        <f t="shared" si="9"/>
        <v>0</v>
      </c>
      <c r="Q28" s="17">
        <f t="shared" si="9"/>
        <v>0</v>
      </c>
      <c r="R28" s="17">
        <f t="shared" si="9"/>
        <v>0</v>
      </c>
    </row>
    <row r="29" spans="4:18" s="7" customFormat="1" ht="11.25" x14ac:dyDescent="0.2">
      <c r="D29" s="11" t="s">
        <v>34</v>
      </c>
      <c r="E29" s="19"/>
      <c r="F29" s="25">
        <f t="shared" si="8"/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4:18" s="7" customFormat="1" ht="22.5" x14ac:dyDescent="0.2">
      <c r="D30" s="12" t="s">
        <v>35</v>
      </c>
      <c r="E30" s="19"/>
      <c r="F30" s="25">
        <f>SUM(G30:R30)</f>
        <v>43622308.999999911</v>
      </c>
      <c r="G30" s="17">
        <v>3635192.41666666</v>
      </c>
      <c r="H30" s="17">
        <v>3635192.41666666</v>
      </c>
      <c r="I30" s="17">
        <v>3635192.41666666</v>
      </c>
      <c r="J30" s="17">
        <v>3635192.41666666</v>
      </c>
      <c r="K30" s="17">
        <v>3635192.41666666</v>
      </c>
      <c r="L30" s="17">
        <v>3635192.41666666</v>
      </c>
      <c r="M30" s="17">
        <v>3635192.41666666</v>
      </c>
      <c r="N30" s="17">
        <v>3635192.41666666</v>
      </c>
      <c r="O30" s="17">
        <v>3635192.41666666</v>
      </c>
      <c r="P30" s="17">
        <v>3635192.41666666</v>
      </c>
      <c r="Q30" s="17">
        <v>3635192.41666666</v>
      </c>
      <c r="R30" s="17">
        <v>3635192.41666666</v>
      </c>
    </row>
    <row r="31" spans="4:18" s="7" customFormat="1" ht="11.25" x14ac:dyDescent="0.2">
      <c r="D31" s="9" t="s">
        <v>36</v>
      </c>
      <c r="E31" s="19"/>
      <c r="F31" s="24">
        <f>SUM(F32:F36)</f>
        <v>0</v>
      </c>
      <c r="G31" s="16">
        <f t="shared" ref="G31:R31" si="10">SUM(G32:G36)</f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  <c r="N31" s="16">
        <f t="shared" si="10"/>
        <v>0</v>
      </c>
      <c r="O31" s="16">
        <f t="shared" si="10"/>
        <v>0</v>
      </c>
      <c r="P31" s="16">
        <f t="shared" si="10"/>
        <v>0</v>
      </c>
      <c r="Q31" s="16">
        <f t="shared" si="10"/>
        <v>0</v>
      </c>
      <c r="R31" s="16">
        <f t="shared" si="10"/>
        <v>0</v>
      </c>
    </row>
    <row r="32" spans="4:18" s="7" customFormat="1" ht="11.25" x14ac:dyDescent="0.2">
      <c r="D32" s="9" t="s">
        <v>37</v>
      </c>
      <c r="E32" s="19"/>
      <c r="F32" s="24">
        <f>SUM(G32:R32)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4:18" s="7" customFormat="1" ht="11.25" x14ac:dyDescent="0.2">
      <c r="D33" s="9" t="s">
        <v>38</v>
      </c>
      <c r="E33" s="19"/>
      <c r="F33" s="24">
        <f t="shared" ref="F33:F36" si="11">SUM(G33:R33)</f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4:18" s="7" customFormat="1" ht="11.25" x14ac:dyDescent="0.2">
      <c r="D34" s="9" t="s">
        <v>39</v>
      </c>
      <c r="E34" s="19"/>
      <c r="F34" s="24">
        <f t="shared" si="11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4:18" s="7" customFormat="1" ht="11.25" x14ac:dyDescent="0.2">
      <c r="D35" s="9" t="s">
        <v>40</v>
      </c>
      <c r="E35" s="19"/>
      <c r="F35" s="24">
        <f t="shared" si="11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4:18" s="7" customFormat="1" ht="11.25" x14ac:dyDescent="0.2">
      <c r="D36" s="9" t="s">
        <v>41</v>
      </c>
      <c r="E36" s="19"/>
      <c r="F36" s="24">
        <f t="shared" si="11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4:18" s="7" customFormat="1" ht="11.25" x14ac:dyDescent="0.2">
      <c r="D37" s="9" t="s">
        <v>42</v>
      </c>
      <c r="E37" s="19"/>
      <c r="F37" s="24">
        <f>SUM(F38:F39)</f>
        <v>999.99999999999943</v>
      </c>
      <c r="G37" s="16">
        <f t="shared" ref="G37:R37" si="12">SUM(G38:G39)</f>
        <v>83.3333333333333</v>
      </c>
      <c r="H37" s="16">
        <f t="shared" si="12"/>
        <v>83.3333333333333</v>
      </c>
      <c r="I37" s="16">
        <f t="shared" si="12"/>
        <v>83.3333333333333</v>
      </c>
      <c r="J37" s="16">
        <f t="shared" si="12"/>
        <v>83.3333333333333</v>
      </c>
      <c r="K37" s="16">
        <f t="shared" si="12"/>
        <v>83.3333333333333</v>
      </c>
      <c r="L37" s="16">
        <f t="shared" si="12"/>
        <v>83.3333333333333</v>
      </c>
      <c r="M37" s="16">
        <f t="shared" si="12"/>
        <v>83.3333333333333</v>
      </c>
      <c r="N37" s="16">
        <f t="shared" si="12"/>
        <v>83.3333333333333</v>
      </c>
      <c r="O37" s="16">
        <f t="shared" si="12"/>
        <v>83.3333333333333</v>
      </c>
      <c r="P37" s="16">
        <f t="shared" si="12"/>
        <v>83.3333333333333</v>
      </c>
      <c r="Q37" s="16">
        <f t="shared" si="12"/>
        <v>83.3333333333333</v>
      </c>
      <c r="R37" s="16">
        <f t="shared" si="12"/>
        <v>83.3333333333333</v>
      </c>
    </row>
    <row r="38" spans="4:18" s="7" customFormat="1" ht="11.25" x14ac:dyDescent="0.2">
      <c r="D38" s="10" t="s">
        <v>43</v>
      </c>
      <c r="E38" s="19"/>
      <c r="F38" s="25">
        <f>SUM(G38:R38)</f>
        <v>999.99999999999943</v>
      </c>
      <c r="G38" s="17">
        <v>83.3333333333333</v>
      </c>
      <c r="H38" s="17">
        <v>83.3333333333333</v>
      </c>
      <c r="I38" s="17">
        <v>83.3333333333333</v>
      </c>
      <c r="J38" s="17">
        <v>83.3333333333333</v>
      </c>
      <c r="K38" s="17">
        <v>83.3333333333333</v>
      </c>
      <c r="L38" s="17">
        <v>83.3333333333333</v>
      </c>
      <c r="M38" s="17">
        <v>83.3333333333333</v>
      </c>
      <c r="N38" s="17">
        <v>83.3333333333333</v>
      </c>
      <c r="O38" s="17">
        <v>83.3333333333333</v>
      </c>
      <c r="P38" s="17">
        <v>83.3333333333333</v>
      </c>
      <c r="Q38" s="17">
        <v>83.3333333333333</v>
      </c>
      <c r="R38" s="17">
        <v>83.3333333333333</v>
      </c>
    </row>
    <row r="39" spans="4:18" s="7" customFormat="1" ht="22.5" x14ac:dyDescent="0.2">
      <c r="D39" s="11" t="s">
        <v>44</v>
      </c>
      <c r="E39" s="19"/>
      <c r="F39" s="25">
        <f>SUM(G39:R39)</f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4:18" s="7" customFormat="1" ht="11.25" x14ac:dyDescent="0.2">
      <c r="D40" s="9" t="s">
        <v>45</v>
      </c>
      <c r="E40" s="19"/>
      <c r="F40" s="24">
        <f>+F41+F48+F53+F64+F69</f>
        <v>68158329.996583313</v>
      </c>
      <c r="G40" s="16">
        <f t="shared" ref="G40:R40" si="13">+G41+G48+G53+G64+G69</f>
        <v>6635417.1694394937</v>
      </c>
      <c r="H40" s="16">
        <f t="shared" si="13"/>
        <v>6271407.8423428731</v>
      </c>
      <c r="I40" s="16">
        <f t="shared" si="13"/>
        <v>5815448.1287263017</v>
      </c>
      <c r="J40" s="16">
        <f t="shared" si="13"/>
        <v>5455449.0865773261</v>
      </c>
      <c r="K40" s="16">
        <f t="shared" si="13"/>
        <v>5250567.6873770654</v>
      </c>
      <c r="L40" s="16">
        <f t="shared" si="13"/>
        <v>5489750.8908189619</v>
      </c>
      <c r="M40" s="16">
        <f t="shared" si="13"/>
        <v>5473241.929033109</v>
      </c>
      <c r="N40" s="16">
        <f t="shared" si="13"/>
        <v>5310733.206188092</v>
      </c>
      <c r="O40" s="16">
        <f t="shared" si="13"/>
        <v>5325128.6973422449</v>
      </c>
      <c r="P40" s="16">
        <f t="shared" si="13"/>
        <v>5351785.3315725876</v>
      </c>
      <c r="Q40" s="16">
        <f t="shared" si="13"/>
        <v>5385679.390661316</v>
      </c>
      <c r="R40" s="16">
        <f t="shared" si="13"/>
        <v>6393720.6365039498</v>
      </c>
    </row>
    <row r="41" spans="4:18" s="7" customFormat="1" ht="22.5" x14ac:dyDescent="0.2">
      <c r="D41" s="9" t="s">
        <v>46</v>
      </c>
      <c r="E41" s="20"/>
      <c r="F41" s="24">
        <f>SUM(F42:F47)</f>
        <v>5684685.0003849138</v>
      </c>
      <c r="G41" s="16">
        <f>SUM(G42:G47)</f>
        <v>793020.87449467892</v>
      </c>
      <c r="H41" s="16">
        <f t="shared" ref="H41:R41" si="14">SUM(H42:H47)</f>
        <v>710333.95684533392</v>
      </c>
      <c r="I41" s="16">
        <f t="shared" si="14"/>
        <v>575061.61375952582</v>
      </c>
      <c r="J41" s="16">
        <f t="shared" si="14"/>
        <v>409985.83885599993</v>
      </c>
      <c r="K41" s="16">
        <f t="shared" si="14"/>
        <v>399590.16664326988</v>
      </c>
      <c r="L41" s="16">
        <f t="shared" si="14"/>
        <v>464539.78074216592</v>
      </c>
      <c r="M41" s="16">
        <f t="shared" si="14"/>
        <v>315202.10596850992</v>
      </c>
      <c r="N41" s="16">
        <f t="shared" si="14"/>
        <v>253927.84347873391</v>
      </c>
      <c r="O41" s="16">
        <f t="shared" si="14"/>
        <v>383697.68413466989</v>
      </c>
      <c r="P41" s="16">
        <f t="shared" si="14"/>
        <v>337834.1350856619</v>
      </c>
      <c r="Q41" s="16">
        <f t="shared" si="14"/>
        <v>456069.38523986994</v>
      </c>
      <c r="R41" s="16">
        <f t="shared" si="14"/>
        <v>585421.61513649393</v>
      </c>
    </row>
    <row r="42" spans="4:18" s="7" customFormat="1" ht="11.25" x14ac:dyDescent="0.2">
      <c r="D42" s="10" t="s">
        <v>47</v>
      </c>
      <c r="E42" s="19"/>
      <c r="F42" s="26">
        <f>SUM(G42:R42)</f>
        <v>2442828.9967627455</v>
      </c>
      <c r="G42" s="18">
        <f>398078.446352934+33928.1666666666</f>
        <v>432006.61301960063</v>
      </c>
      <c r="H42" s="18">
        <f>322470.813309334+33928.1666666666</f>
        <v>356398.97997600061</v>
      </c>
      <c r="I42" s="18">
        <f>279776.786669334+33928.1666666666</f>
        <v>313704.95333600056</v>
      </c>
      <c r="J42" s="18">
        <f>114217.49+33928.1666666666</f>
        <v>148145.65666666662</v>
      </c>
      <c r="K42" s="18">
        <f>109837.12664327+33928.1666666666</f>
        <v>143765.29330993659</v>
      </c>
      <c r="L42" s="18">
        <f>123064.147554166+33928.1666666666</f>
        <v>156992.3142208326</v>
      </c>
      <c r="M42" s="18">
        <f>78061.16133651+33928.1666666666</f>
        <v>111989.3280031766</v>
      </c>
      <c r="N42" s="18">
        <f>43444.585532342+33928.1666666666</f>
        <v>77372.752199008595</v>
      </c>
      <c r="O42" s="18">
        <f>121567.761256998+33928.1666666666</f>
        <v>155495.9279236646</v>
      </c>
      <c r="P42" s="18">
        <f>90441.351367494+33928.1666666666</f>
        <v>124369.5180341606</v>
      </c>
      <c r="Q42" s="18">
        <f>127091.897231166+33928.1666666666</f>
        <v>161020.06389783259</v>
      </c>
      <c r="R42" s="18">
        <f>227639.429509198+33928.1666666666</f>
        <v>261567.5961758646</v>
      </c>
    </row>
    <row r="43" spans="4:18" s="7" customFormat="1" ht="11.25" x14ac:dyDescent="0.2">
      <c r="D43" s="10" t="s">
        <v>48</v>
      </c>
      <c r="E43" s="19"/>
      <c r="F43" s="26">
        <f t="shared" ref="F43:F47" si="15">SUM(G43:R43)</f>
        <v>317406.99999999971</v>
      </c>
      <c r="G43" s="18">
        <v>26450.583333333299</v>
      </c>
      <c r="H43" s="18">
        <v>26450.583333333299</v>
      </c>
      <c r="I43" s="18">
        <v>26450.583333333299</v>
      </c>
      <c r="J43" s="18">
        <v>26450.583333333299</v>
      </c>
      <c r="K43" s="18">
        <v>26450.583333333299</v>
      </c>
      <c r="L43" s="18">
        <v>26450.583333333299</v>
      </c>
      <c r="M43" s="18">
        <v>26450.583333333299</v>
      </c>
      <c r="N43" s="18">
        <v>26450.583333333299</v>
      </c>
      <c r="O43" s="18">
        <v>26450.583333333299</v>
      </c>
      <c r="P43" s="18">
        <v>26450.583333333299</v>
      </c>
      <c r="Q43" s="18">
        <v>26450.583333333299</v>
      </c>
      <c r="R43" s="18">
        <v>26450.583333333299</v>
      </c>
    </row>
    <row r="44" spans="4:18" s="7" customFormat="1" ht="11.25" x14ac:dyDescent="0.2">
      <c r="D44" s="10" t="s">
        <v>49</v>
      </c>
      <c r="E44" s="19"/>
      <c r="F44" s="26">
        <f t="shared" si="15"/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</row>
    <row r="45" spans="4:18" s="7" customFormat="1" ht="11.25" x14ac:dyDescent="0.2">
      <c r="D45" s="10" t="s">
        <v>50</v>
      </c>
      <c r="E45" s="19"/>
      <c r="F45" s="26">
        <f t="shared" si="15"/>
        <v>1862572.0036221691</v>
      </c>
      <c r="G45" s="18">
        <f>220204.928141745+25869</f>
        <v>246073.92814174501</v>
      </c>
      <c r="H45" s="18">
        <f>213125.643536+25869</f>
        <v>238994.64353599999</v>
      </c>
      <c r="I45" s="18">
        <f>120547.327090192+25869</f>
        <v>146416.327090192</v>
      </c>
      <c r="J45" s="18">
        <f>121030.848856+25869</f>
        <v>146899.848856</v>
      </c>
      <c r="K45" s="18">
        <f>115015.54+25869</f>
        <v>140884.53999999998</v>
      </c>
      <c r="L45" s="18">
        <f>166738.133188+25869</f>
        <v>192607.13318800001</v>
      </c>
      <c r="M45" s="18">
        <f>62403.444632+25869</f>
        <v>88272.444631999999</v>
      </c>
      <c r="N45" s="18">
        <f>35745.757946392+25869</f>
        <v>61614.757946391997</v>
      </c>
      <c r="O45" s="18">
        <f>87392.422877672+25869</f>
        <v>113261.422877672</v>
      </c>
      <c r="P45" s="18">
        <f>72655.283718168+25869</f>
        <v>98524.283718167993</v>
      </c>
      <c r="Q45" s="18">
        <f>154239.988008704+25869</f>
        <v>180108.98800870401</v>
      </c>
      <c r="R45" s="18">
        <f>183044.685627296+25869</f>
        <v>208913.68562729601</v>
      </c>
    </row>
    <row r="46" spans="4:18" s="7" customFormat="1" ht="11.25" x14ac:dyDescent="0.2">
      <c r="D46" s="10" t="s">
        <v>51</v>
      </c>
      <c r="E46" s="19"/>
      <c r="F46" s="26">
        <f t="shared" si="15"/>
        <v>149244</v>
      </c>
      <c r="G46" s="18">
        <v>12437</v>
      </c>
      <c r="H46" s="18">
        <v>12437</v>
      </c>
      <c r="I46" s="18">
        <v>12437</v>
      </c>
      <c r="J46" s="18">
        <v>12437</v>
      </c>
      <c r="K46" s="18">
        <v>12437</v>
      </c>
      <c r="L46" s="18">
        <v>12437</v>
      </c>
      <c r="M46" s="18">
        <v>12437</v>
      </c>
      <c r="N46" s="18">
        <v>12437</v>
      </c>
      <c r="O46" s="18">
        <v>12437</v>
      </c>
      <c r="P46" s="18">
        <v>12437</v>
      </c>
      <c r="Q46" s="18">
        <v>12437</v>
      </c>
      <c r="R46" s="18">
        <v>12437</v>
      </c>
    </row>
    <row r="47" spans="4:18" s="7" customFormat="1" ht="22.5" x14ac:dyDescent="0.2">
      <c r="D47" s="10" t="s">
        <v>52</v>
      </c>
      <c r="E47" s="19"/>
      <c r="F47" s="26">
        <f t="shared" si="15"/>
        <v>912633</v>
      </c>
      <c r="G47" s="17">
        <v>76052.75</v>
      </c>
      <c r="H47" s="17">
        <v>76052.75</v>
      </c>
      <c r="I47" s="17">
        <v>76052.75</v>
      </c>
      <c r="J47" s="17">
        <v>76052.75</v>
      </c>
      <c r="K47" s="17">
        <v>76052.75</v>
      </c>
      <c r="L47" s="17">
        <v>76052.75</v>
      </c>
      <c r="M47" s="17">
        <v>76052.75</v>
      </c>
      <c r="N47" s="17">
        <v>76052.75</v>
      </c>
      <c r="O47" s="17">
        <v>76052.75</v>
      </c>
      <c r="P47" s="17">
        <v>76052.75</v>
      </c>
      <c r="Q47" s="17">
        <v>76052.75</v>
      </c>
      <c r="R47" s="17">
        <v>76052.75</v>
      </c>
    </row>
    <row r="48" spans="4:18" s="7" customFormat="1" ht="11.25" x14ac:dyDescent="0.2">
      <c r="D48" s="9" t="s">
        <v>53</v>
      </c>
      <c r="E48" s="19"/>
      <c r="F48" s="24">
        <f>SUM(F49:F52)</f>
        <v>11667510.001339629</v>
      </c>
      <c r="G48" s="16">
        <f t="shared" ref="G48:R48" si="16">SUM(G49:G52)</f>
        <v>1172468.615412503</v>
      </c>
      <c r="H48" s="16">
        <f t="shared" si="16"/>
        <v>1191606.0336708529</v>
      </c>
      <c r="I48" s="16">
        <f t="shared" si="16"/>
        <v>976294.37203031697</v>
      </c>
      <c r="J48" s="16">
        <f t="shared" si="16"/>
        <v>865521.86725333298</v>
      </c>
      <c r="K48" s="16">
        <f t="shared" si="16"/>
        <v>817296.83093889302</v>
      </c>
      <c r="L48" s="16">
        <f t="shared" si="16"/>
        <v>783715.66667013301</v>
      </c>
      <c r="M48" s="16">
        <f t="shared" si="16"/>
        <v>942263.40056678106</v>
      </c>
      <c r="N48" s="16">
        <f t="shared" si="16"/>
        <v>847763.23707736505</v>
      </c>
      <c r="O48" s="16">
        <f t="shared" si="16"/>
        <v>904580.21029733308</v>
      </c>
      <c r="P48" s="16">
        <f t="shared" si="16"/>
        <v>885920.49684133299</v>
      </c>
      <c r="Q48" s="16">
        <f t="shared" si="16"/>
        <v>890406.72006533307</v>
      </c>
      <c r="R48" s="16">
        <f t="shared" si="16"/>
        <v>1389672.5505154531</v>
      </c>
    </row>
    <row r="49" spans="4:18" s="7" customFormat="1" ht="11.25" x14ac:dyDescent="0.2">
      <c r="D49" s="10" t="s">
        <v>49</v>
      </c>
      <c r="E49" s="19"/>
      <c r="F49" s="25">
        <f>SUM(G49:R49)</f>
        <v>2045277.999999996</v>
      </c>
      <c r="G49" s="17">
        <v>170439.83333333299</v>
      </c>
      <c r="H49" s="17">
        <v>170439.83333333299</v>
      </c>
      <c r="I49" s="17">
        <v>170439.83333333299</v>
      </c>
      <c r="J49" s="17">
        <v>170439.83333333299</v>
      </c>
      <c r="K49" s="17">
        <v>170439.83333333299</v>
      </c>
      <c r="L49" s="17">
        <v>170439.83333333299</v>
      </c>
      <c r="M49" s="17">
        <v>170439.83333333299</v>
      </c>
      <c r="N49" s="17">
        <v>170439.83333333299</v>
      </c>
      <c r="O49" s="17">
        <v>170439.83333333299</v>
      </c>
      <c r="P49" s="17">
        <v>170439.83333333299</v>
      </c>
      <c r="Q49" s="17">
        <v>170439.83333333299</v>
      </c>
      <c r="R49" s="17">
        <v>170439.83333333299</v>
      </c>
    </row>
    <row r="50" spans="4:18" s="7" customFormat="1" ht="11.25" x14ac:dyDescent="0.2">
      <c r="D50" s="10" t="s">
        <v>54</v>
      </c>
      <c r="E50" s="19"/>
      <c r="F50" s="25">
        <f t="shared" ref="F50:F52" si="17">SUM(G50:R50)</f>
        <v>1200</v>
      </c>
      <c r="G50" s="17">
        <v>100</v>
      </c>
      <c r="H50" s="17">
        <v>100</v>
      </c>
      <c r="I50" s="17">
        <v>100</v>
      </c>
      <c r="J50" s="17">
        <v>100</v>
      </c>
      <c r="K50" s="17">
        <v>100</v>
      </c>
      <c r="L50" s="17">
        <v>100</v>
      </c>
      <c r="M50" s="17">
        <v>100</v>
      </c>
      <c r="N50" s="17">
        <v>100</v>
      </c>
      <c r="O50" s="17">
        <v>100</v>
      </c>
      <c r="P50" s="17">
        <v>100</v>
      </c>
      <c r="Q50" s="17">
        <v>100</v>
      </c>
      <c r="R50" s="17">
        <v>100</v>
      </c>
    </row>
    <row r="51" spans="4:18" s="7" customFormat="1" ht="11.25" x14ac:dyDescent="0.2">
      <c r="D51" s="10" t="s">
        <v>55</v>
      </c>
      <c r="E51" s="19"/>
      <c r="F51" s="25">
        <f t="shared" si="17"/>
        <v>1200</v>
      </c>
      <c r="G51" s="17">
        <v>100</v>
      </c>
      <c r="H51" s="17">
        <v>100</v>
      </c>
      <c r="I51" s="17">
        <v>100</v>
      </c>
      <c r="J51" s="17">
        <v>100</v>
      </c>
      <c r="K51" s="17">
        <v>100</v>
      </c>
      <c r="L51" s="17">
        <v>100</v>
      </c>
      <c r="M51" s="17">
        <v>100</v>
      </c>
      <c r="N51" s="17">
        <v>100</v>
      </c>
      <c r="O51" s="17">
        <v>100</v>
      </c>
      <c r="P51" s="17">
        <v>100</v>
      </c>
      <c r="Q51" s="17">
        <v>100</v>
      </c>
      <c r="R51" s="17">
        <v>100</v>
      </c>
    </row>
    <row r="52" spans="4:18" s="7" customFormat="1" ht="22.5" x14ac:dyDescent="0.2">
      <c r="D52" s="10" t="s">
        <v>52</v>
      </c>
      <c r="E52" s="19"/>
      <c r="F52" s="25">
        <f t="shared" si="17"/>
        <v>9619832.001339633</v>
      </c>
      <c r="G52" s="17">
        <f>868220.03207917+133608.75</f>
        <v>1001828.78207917</v>
      </c>
      <c r="H52" s="17">
        <f>887357.45033752+133608.75</f>
        <v>1020966.20033752</v>
      </c>
      <c r="I52" s="17">
        <f>672045.788696984+133608.75</f>
        <v>805654.53869698395</v>
      </c>
      <c r="J52" s="17">
        <f>561273.28392+133608.75</f>
        <v>694882.03391999996</v>
      </c>
      <c r="K52" s="17">
        <f>513048.24760556+133608.75</f>
        <v>646656.99760556</v>
      </c>
      <c r="L52" s="17">
        <f>479467.0833368+133608.75</f>
        <v>613075.83333679999</v>
      </c>
      <c r="M52" s="17">
        <f>638014.817233448+133608.75</f>
        <v>771623.56723344803</v>
      </c>
      <c r="N52" s="17">
        <f>543514.653744032+133608.75</f>
        <v>677123.40374403202</v>
      </c>
      <c r="O52" s="17">
        <f>600331.626964+133608.75</f>
        <v>733940.37696400005</v>
      </c>
      <c r="P52" s="17">
        <f>581671.913508+133608.75</f>
        <v>715280.66350799997</v>
      </c>
      <c r="Q52" s="17">
        <f>586158.136732+133608.75</f>
        <v>719766.88673200004</v>
      </c>
      <c r="R52" s="17">
        <f>1085423.96718212+133608.75</f>
        <v>1219032.7171821201</v>
      </c>
    </row>
    <row r="53" spans="4:18" s="7" customFormat="1" ht="11.25" x14ac:dyDescent="0.2">
      <c r="D53" s="9" t="s">
        <v>56</v>
      </c>
      <c r="E53" s="19"/>
      <c r="F53" s="24">
        <f>SUM(F54:F63)</f>
        <v>49797804.994858779</v>
      </c>
      <c r="G53" s="16">
        <f t="shared" ref="G53:R53" si="18">SUM(G54:G63)</f>
        <v>4585900.1795323119</v>
      </c>
      <c r="H53" s="16">
        <f t="shared" si="18"/>
        <v>4285440.3518266864</v>
      </c>
      <c r="I53" s="16">
        <f t="shared" si="18"/>
        <v>4180064.6429364588</v>
      </c>
      <c r="J53" s="16">
        <f t="shared" si="18"/>
        <v>4095913.8804679927</v>
      </c>
      <c r="K53" s="16">
        <f t="shared" si="18"/>
        <v>3949653.1897949027</v>
      </c>
      <c r="L53" s="16">
        <f t="shared" si="18"/>
        <v>4157467.9434066629</v>
      </c>
      <c r="M53" s="16">
        <f t="shared" si="18"/>
        <v>4131748.9224978182</v>
      </c>
      <c r="N53" s="16">
        <f t="shared" si="18"/>
        <v>4125014.6256319927</v>
      </c>
      <c r="O53" s="16">
        <f t="shared" si="18"/>
        <v>3952823.3029102422</v>
      </c>
      <c r="P53" s="16">
        <f t="shared" si="18"/>
        <v>4044003.1996455928</v>
      </c>
      <c r="Q53" s="16">
        <f t="shared" si="18"/>
        <v>3955175.7853561132</v>
      </c>
      <c r="R53" s="16">
        <f t="shared" si="18"/>
        <v>4334598.9708520025</v>
      </c>
    </row>
    <row r="54" spans="4:18" s="7" customFormat="1" ht="11.25" x14ac:dyDescent="0.2">
      <c r="D54" s="10" t="s">
        <v>47</v>
      </c>
      <c r="E54" s="19"/>
      <c r="F54" s="25">
        <f>SUM(G54:R54)</f>
        <v>4870005.9999999963</v>
      </c>
      <c r="G54" s="17">
        <v>405833.83333333302</v>
      </c>
      <c r="H54" s="17">
        <v>405833.83333333302</v>
      </c>
      <c r="I54" s="17">
        <v>405833.83333333302</v>
      </c>
      <c r="J54" s="17">
        <v>405833.83333333302</v>
      </c>
      <c r="K54" s="17">
        <v>405833.83333333302</v>
      </c>
      <c r="L54" s="17">
        <v>405833.83333333302</v>
      </c>
      <c r="M54" s="17">
        <v>405833.83333333302</v>
      </c>
      <c r="N54" s="17">
        <v>405833.83333333302</v>
      </c>
      <c r="O54" s="17">
        <v>405833.83333333302</v>
      </c>
      <c r="P54" s="17">
        <v>405833.83333333302</v>
      </c>
      <c r="Q54" s="17">
        <v>405833.83333333302</v>
      </c>
      <c r="R54" s="17">
        <v>405833.83333333302</v>
      </c>
    </row>
    <row r="55" spans="4:18" s="7" customFormat="1" ht="11.25" x14ac:dyDescent="0.2">
      <c r="D55" s="10" t="s">
        <v>49</v>
      </c>
      <c r="E55" s="19"/>
      <c r="F55" s="25">
        <f t="shared" ref="F55:F63" si="19">SUM(G55:R55)</f>
        <v>4094720.9992572665</v>
      </c>
      <c r="G55" s="17">
        <f>469297.67257172+56871.0833333333</f>
        <v>526168.75590505323</v>
      </c>
      <c r="H55" s="17">
        <f>321317.715330504+56871.0833333333</f>
        <v>378188.79866383731</v>
      </c>
      <c r="I55" s="17">
        <f>267533.01+56871.083333</f>
        <v>324404.09333300003</v>
      </c>
      <c r="J55" s="17">
        <f>206489.10364+56871.0833333333</f>
        <v>263360.1869733333</v>
      </c>
      <c r="K55" s="17">
        <f>276381.874028+56871.0833333333</f>
        <v>333252.95736133331</v>
      </c>
      <c r="L55" s="17">
        <f>258209.284852+56871.0833333333</f>
        <v>315080.36818533333</v>
      </c>
      <c r="M55" s="17">
        <f>223883.949801656+56871.0833333333</f>
        <v>280755.03313498932</v>
      </c>
      <c r="N55" s="17">
        <f>264571.329092+56871.0833333333</f>
        <v>321442.41242533334</v>
      </c>
      <c r="O55" s="17">
        <f>236821.501448+56871.0833333333</f>
        <v>293692.58478133328</v>
      </c>
      <c r="P55" s="17">
        <f>290032.9658696+56871.0833333333</f>
        <v>346904.04920293333</v>
      </c>
      <c r="Q55" s="17">
        <f>266803.95575612+56871.0833333333</f>
        <v>323675.03908945329</v>
      </c>
      <c r="R55" s="17">
        <f>330925.636868+56871.0833333333</f>
        <v>387796.72020133329</v>
      </c>
    </row>
    <row r="56" spans="4:18" s="7" customFormat="1" ht="11.25" x14ac:dyDescent="0.2">
      <c r="D56" s="10" t="s">
        <v>48</v>
      </c>
      <c r="E56" s="19"/>
      <c r="F56" s="25">
        <f t="shared" si="19"/>
        <v>4006962</v>
      </c>
      <c r="G56" s="17">
        <v>333913.5</v>
      </c>
      <c r="H56" s="17">
        <v>333913.5</v>
      </c>
      <c r="I56" s="17">
        <v>333913.5</v>
      </c>
      <c r="J56" s="17">
        <v>333913.5</v>
      </c>
      <c r="K56" s="17">
        <v>333913.5</v>
      </c>
      <c r="L56" s="17">
        <v>333913.5</v>
      </c>
      <c r="M56" s="17">
        <v>333913.5</v>
      </c>
      <c r="N56" s="17">
        <v>333913.5</v>
      </c>
      <c r="O56" s="17">
        <v>333913.5</v>
      </c>
      <c r="P56" s="17">
        <v>333913.5</v>
      </c>
      <c r="Q56" s="17">
        <v>333913.5</v>
      </c>
      <c r="R56" s="17">
        <v>333913.5</v>
      </c>
    </row>
    <row r="57" spans="4:18" s="7" customFormat="1" ht="11.25" x14ac:dyDescent="0.2">
      <c r="D57" s="10" t="s">
        <v>57</v>
      </c>
      <c r="E57" s="19"/>
      <c r="F57" s="25">
        <f t="shared" si="19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4:18" s="7" customFormat="1" ht="11.25" x14ac:dyDescent="0.2">
      <c r="D58" s="10" t="s">
        <v>58</v>
      </c>
      <c r="E58" s="19"/>
      <c r="F58" s="25">
        <f t="shared" si="19"/>
        <v>387087.00124000007</v>
      </c>
      <c r="G58" s="17">
        <f>33475.077268+5376.16666666666</f>
        <v>38851.243934666658</v>
      </c>
      <c r="H58" s="17">
        <f>22047.089612+5376.16666666666</f>
        <v>27423.25627866666</v>
      </c>
      <c r="I58" s="17">
        <f>23350.688304+5376.16666666666</f>
        <v>28726.85497066666</v>
      </c>
      <c r="J58" s="17">
        <f>23188.512432+5376.16666666666</f>
        <v>28564.67909866666</v>
      </c>
      <c r="K58" s="17">
        <f>32007.371736+5376.16666666666</f>
        <v>37383.538402666658</v>
      </c>
      <c r="L58" s="17">
        <f>22778.139488+5376.16666666666</f>
        <v>28154.306154666661</v>
      </c>
      <c r="M58" s="17">
        <f>28208.984376+5376.16666666666</f>
        <v>33585.151042666657</v>
      </c>
      <c r="N58" s="17">
        <f>13414.006388+5376.16666666666</f>
        <v>18790.173054666659</v>
      </c>
      <c r="O58" s="17">
        <f>38035.7055640001+5376.16666666666</f>
        <v>43411.872230666755</v>
      </c>
      <c r="P58" s="17">
        <f>26991.71316+5376.16666666666</f>
        <v>32367.87982666666</v>
      </c>
      <c r="Q58" s="17">
        <f>30814.826936+5376.16666666666</f>
        <v>36190.993602666662</v>
      </c>
      <c r="R58" s="17">
        <f>28260.885976+5376.16666666666</f>
        <v>33637.052642666662</v>
      </c>
    </row>
    <row r="59" spans="4:18" s="7" customFormat="1" ht="11.25" x14ac:dyDescent="0.2">
      <c r="D59" s="10" t="s">
        <v>59</v>
      </c>
      <c r="E59" s="19"/>
      <c r="F59" s="25">
        <f t="shared" si="19"/>
        <v>25696243.995297521</v>
      </c>
      <c r="G59" s="17">
        <f>1982942.13986246+356892.25</f>
        <v>2339834.3898624601</v>
      </c>
      <c r="H59" s="17">
        <f>1825267.12860685+356892.25</f>
        <v>2182159.3786068503</v>
      </c>
      <c r="I59" s="17">
        <f>1763655.58152666+356892.25</f>
        <v>2120547.8315266599</v>
      </c>
      <c r="J59" s="17">
        <f>1821662.86368266+356892.25</f>
        <v>2178555.1136826603</v>
      </c>
      <c r="K59" s="17">
        <f>1633992.97340157+356892.25</f>
        <v>1990885.22340157</v>
      </c>
      <c r="L59" s="17">
        <f>1855882.01445733+356892.25</f>
        <v>2212774.2644573301</v>
      </c>
      <c r="M59" s="17">
        <f>1775586.04535483+356892.25</f>
        <v>2132478.2953548301</v>
      </c>
      <c r="N59" s="17">
        <f>1776890.50542666+356892.25</f>
        <v>2133782.7554266602</v>
      </c>
      <c r="O59" s="17">
        <f>1649673.58259051+356892.25</f>
        <v>2006565.8325905099</v>
      </c>
      <c r="P59" s="17">
        <f>1638433.08533866+356892.25</f>
        <v>1995325.3353386601</v>
      </c>
      <c r="Q59" s="17">
        <f>1719394.08723866+356892.25</f>
        <v>2076286.3372386601</v>
      </c>
      <c r="R59" s="17">
        <f>1970156.98781067+356892.25</f>
        <v>2327049.2378106699</v>
      </c>
    </row>
    <row r="60" spans="4:18" s="7" customFormat="1" ht="11.25" x14ac:dyDescent="0.2">
      <c r="D60" s="10" t="s">
        <v>125</v>
      </c>
      <c r="E60" s="19"/>
      <c r="F60" s="25">
        <f t="shared" si="19"/>
        <v>5721699.9990639994</v>
      </c>
      <c r="G60" s="17">
        <f>443406.7064968+79468</f>
        <v>522874.7064968</v>
      </c>
      <c r="H60" s="17">
        <f>460029.834944+79468</f>
        <v>539497.834944</v>
      </c>
      <c r="I60" s="17">
        <f>468746.7797728+79468</f>
        <v>548214.77977279993</v>
      </c>
      <c r="J60" s="17">
        <f>387794.81738+79468</f>
        <v>467262.81738000002</v>
      </c>
      <c r="K60" s="17">
        <f>350492.387296+79468</f>
        <v>429960.38729599997</v>
      </c>
      <c r="L60" s="17">
        <f>363819.921276+79468</f>
        <v>443287.92127599998</v>
      </c>
      <c r="M60" s="17">
        <f>447291.359632+79468</f>
        <v>526759.35963199998</v>
      </c>
      <c r="N60" s="17">
        <f>413360.201392+79468</f>
        <v>492828.20139200002</v>
      </c>
      <c r="O60" s="17">
        <f>371513.9299744+79468</f>
        <v>450981.92997439997</v>
      </c>
      <c r="P60" s="17">
        <f>431766.851944+79468</f>
        <v>511234.85194399999</v>
      </c>
      <c r="Q60" s="17">
        <f>281384.332092+79468</f>
        <v>360852.332092</v>
      </c>
      <c r="R60" s="17">
        <f>348476.876864+79468</f>
        <v>427944.87686399999</v>
      </c>
    </row>
    <row r="61" spans="4:18" s="7" customFormat="1" ht="11.25" x14ac:dyDescent="0.2">
      <c r="D61" s="10" t="s">
        <v>60</v>
      </c>
      <c r="E61" s="19"/>
      <c r="F61" s="25">
        <f t="shared" si="19"/>
        <v>1200</v>
      </c>
      <c r="G61" s="17">
        <v>100</v>
      </c>
      <c r="H61" s="17">
        <v>100</v>
      </c>
      <c r="I61" s="17">
        <v>100</v>
      </c>
      <c r="J61" s="17">
        <v>100</v>
      </c>
      <c r="K61" s="17">
        <v>100</v>
      </c>
      <c r="L61" s="17">
        <v>100</v>
      </c>
      <c r="M61" s="17">
        <v>100</v>
      </c>
      <c r="N61" s="17">
        <v>100</v>
      </c>
      <c r="O61" s="17">
        <v>100</v>
      </c>
      <c r="P61" s="17">
        <v>100</v>
      </c>
      <c r="Q61" s="17">
        <v>100</v>
      </c>
      <c r="R61" s="17">
        <v>100</v>
      </c>
    </row>
    <row r="62" spans="4:18" s="7" customFormat="1" ht="11.25" x14ac:dyDescent="0.2">
      <c r="D62" s="10" t="s">
        <v>50</v>
      </c>
      <c r="E62" s="19"/>
      <c r="F62" s="25">
        <f t="shared" si="19"/>
        <v>819264.99999999942</v>
      </c>
      <c r="G62" s="17">
        <v>68272.083333333299</v>
      </c>
      <c r="H62" s="17">
        <v>68272.083333333299</v>
      </c>
      <c r="I62" s="17">
        <v>68272.083333333299</v>
      </c>
      <c r="J62" s="17">
        <v>68272.083333333299</v>
      </c>
      <c r="K62" s="17">
        <v>68272.083333333299</v>
      </c>
      <c r="L62" s="17">
        <v>68272.083333333299</v>
      </c>
      <c r="M62" s="17">
        <v>68272.083333333299</v>
      </c>
      <c r="N62" s="17">
        <v>68272.083333333299</v>
      </c>
      <c r="O62" s="17">
        <v>68272.083333333299</v>
      </c>
      <c r="P62" s="17">
        <v>68272.083333333299</v>
      </c>
      <c r="Q62" s="17">
        <v>68272.083333333299</v>
      </c>
      <c r="R62" s="17">
        <v>68272.083333333299</v>
      </c>
    </row>
    <row r="63" spans="4:18" s="7" customFormat="1" ht="11.25" x14ac:dyDescent="0.2">
      <c r="D63" s="10" t="s">
        <v>61</v>
      </c>
      <c r="E63" s="19"/>
      <c r="F63" s="25">
        <f t="shared" si="19"/>
        <v>4200619.9999999916</v>
      </c>
      <c r="G63" s="17">
        <v>350051.66666666599</v>
      </c>
      <c r="H63" s="17">
        <v>350051.66666666599</v>
      </c>
      <c r="I63" s="17">
        <v>350051.66666666599</v>
      </c>
      <c r="J63" s="17">
        <v>350051.66666666599</v>
      </c>
      <c r="K63" s="17">
        <v>350051.66666666599</v>
      </c>
      <c r="L63" s="17">
        <v>350051.66666666599</v>
      </c>
      <c r="M63" s="17">
        <v>350051.66666666599</v>
      </c>
      <c r="N63" s="17">
        <v>350051.66666666599</v>
      </c>
      <c r="O63" s="17">
        <v>350051.66666666599</v>
      </c>
      <c r="P63" s="17">
        <v>350051.66666666599</v>
      </c>
      <c r="Q63" s="17">
        <v>350051.66666666599</v>
      </c>
      <c r="R63" s="17">
        <v>350051.66666666599</v>
      </c>
    </row>
    <row r="64" spans="4:18" s="7" customFormat="1" ht="11.25" x14ac:dyDescent="0.2">
      <c r="D64" s="9" t="s">
        <v>62</v>
      </c>
      <c r="E64" s="19"/>
      <c r="F64" s="24">
        <f>SUM(F65:F68)</f>
        <v>1008330</v>
      </c>
      <c r="G64" s="16">
        <f t="shared" ref="G64:R64" si="20">SUM(G65:G68)</f>
        <v>84027.5</v>
      </c>
      <c r="H64" s="16">
        <f t="shared" si="20"/>
        <v>84027.5</v>
      </c>
      <c r="I64" s="16">
        <f t="shared" si="20"/>
        <v>84027.5</v>
      </c>
      <c r="J64" s="16">
        <f t="shared" si="20"/>
        <v>84027.5</v>
      </c>
      <c r="K64" s="16">
        <f t="shared" si="20"/>
        <v>84027.5</v>
      </c>
      <c r="L64" s="16">
        <f t="shared" si="20"/>
        <v>84027.5</v>
      </c>
      <c r="M64" s="16">
        <f t="shared" si="20"/>
        <v>84027.5</v>
      </c>
      <c r="N64" s="16">
        <f t="shared" si="20"/>
        <v>84027.5</v>
      </c>
      <c r="O64" s="16">
        <f t="shared" si="20"/>
        <v>84027.5</v>
      </c>
      <c r="P64" s="16">
        <f t="shared" si="20"/>
        <v>84027.5</v>
      </c>
      <c r="Q64" s="16">
        <f t="shared" si="20"/>
        <v>84027.5</v>
      </c>
      <c r="R64" s="16">
        <f t="shared" si="20"/>
        <v>84027.5</v>
      </c>
    </row>
    <row r="65" spans="4:18" s="7" customFormat="1" ht="11.25" x14ac:dyDescent="0.2">
      <c r="D65" s="10" t="s">
        <v>29</v>
      </c>
      <c r="E65" s="19"/>
      <c r="F65" s="25">
        <f>SUM(G65:R65)</f>
        <v>1008330</v>
      </c>
      <c r="G65" s="17">
        <v>84027.5</v>
      </c>
      <c r="H65" s="17">
        <v>84027.5</v>
      </c>
      <c r="I65" s="17">
        <v>84027.5</v>
      </c>
      <c r="J65" s="17">
        <v>84027.5</v>
      </c>
      <c r="K65" s="17">
        <v>84027.5</v>
      </c>
      <c r="L65" s="17">
        <v>84027.5</v>
      </c>
      <c r="M65" s="17">
        <v>84027.5</v>
      </c>
      <c r="N65" s="17">
        <v>84027.5</v>
      </c>
      <c r="O65" s="17">
        <v>84027.5</v>
      </c>
      <c r="P65" s="17">
        <v>84027.5</v>
      </c>
      <c r="Q65" s="17">
        <v>84027.5</v>
      </c>
      <c r="R65" s="17">
        <v>84027.5</v>
      </c>
    </row>
    <row r="66" spans="4:18" s="7" customFormat="1" ht="11.25" x14ac:dyDescent="0.2">
      <c r="D66" s="10" t="s">
        <v>30</v>
      </c>
      <c r="E66" s="19"/>
      <c r="F66" s="25">
        <f t="shared" ref="F66:F68" si="21">SUM(G66:R66)</f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</row>
    <row r="67" spans="4:18" s="7" customFormat="1" ht="11.25" x14ac:dyDescent="0.2">
      <c r="D67" s="10" t="s">
        <v>31</v>
      </c>
      <c r="E67" s="19"/>
      <c r="F67" s="25">
        <f t="shared" si="21"/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</row>
    <row r="68" spans="4:18" s="7" customFormat="1" ht="11.25" x14ac:dyDescent="0.2">
      <c r="D68" s="10" t="s">
        <v>32</v>
      </c>
      <c r="E68" s="19"/>
      <c r="F68" s="25">
        <f t="shared" si="21"/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</row>
    <row r="69" spans="4:18" s="7" customFormat="1" ht="22.5" x14ac:dyDescent="0.2">
      <c r="D69" s="12" t="s">
        <v>63</v>
      </c>
      <c r="E69" s="19"/>
      <c r="F69" s="24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</row>
    <row r="70" spans="4:18" s="7" customFormat="1" ht="11.25" x14ac:dyDescent="0.2">
      <c r="D70" s="9" t="s">
        <v>64</v>
      </c>
      <c r="E70" s="19"/>
      <c r="F70" s="24">
        <f>F71+F73</f>
        <v>55943695.001005679</v>
      </c>
      <c r="G70" s="16">
        <f t="shared" ref="G70:R70" si="22">G71+G73</f>
        <v>5250236.7969010659</v>
      </c>
      <c r="H70" s="16">
        <f t="shared" si="22"/>
        <v>5184087.0374266654</v>
      </c>
      <c r="I70" s="16">
        <f t="shared" si="22"/>
        <v>5236743.3997898661</v>
      </c>
      <c r="J70" s="16">
        <f t="shared" si="22"/>
        <v>5226527.1600840744</v>
      </c>
      <c r="K70" s="16">
        <f t="shared" si="22"/>
        <v>4215835.5748135298</v>
      </c>
      <c r="L70" s="16">
        <f t="shared" si="22"/>
        <v>4854529.5129608456</v>
      </c>
      <c r="M70" s="16">
        <f t="shared" si="22"/>
        <v>4185731.18047969</v>
      </c>
      <c r="N70" s="16">
        <f t="shared" si="22"/>
        <v>5155246.6366364658</v>
      </c>
      <c r="O70" s="16">
        <f t="shared" si="22"/>
        <v>4145718.2311930899</v>
      </c>
      <c r="P70" s="16">
        <f t="shared" si="22"/>
        <v>4122264.81270409</v>
      </c>
      <c r="Q70" s="16">
        <f t="shared" si="22"/>
        <v>4143084.9613496261</v>
      </c>
      <c r="R70" s="16">
        <f t="shared" si="22"/>
        <v>4223689.6966666654</v>
      </c>
    </row>
    <row r="71" spans="4:18" s="7" customFormat="1" ht="11.25" x14ac:dyDescent="0.2">
      <c r="D71" s="9" t="s">
        <v>65</v>
      </c>
      <c r="E71" s="19"/>
      <c r="F71" s="24">
        <f>SUM(F72:F72)</f>
        <v>55943695.001005679</v>
      </c>
      <c r="G71" s="16">
        <f t="shared" ref="G71:R71" si="23">SUM(G72:G72)</f>
        <v>5250236.7969010659</v>
      </c>
      <c r="H71" s="16">
        <f t="shared" si="23"/>
        <v>5184087.0374266654</v>
      </c>
      <c r="I71" s="16">
        <f t="shared" si="23"/>
        <v>5236743.3997898661</v>
      </c>
      <c r="J71" s="16">
        <f t="shared" si="23"/>
        <v>5226527.1600840744</v>
      </c>
      <c r="K71" s="16">
        <f t="shared" si="23"/>
        <v>4215835.5748135298</v>
      </c>
      <c r="L71" s="16">
        <f t="shared" si="23"/>
        <v>4854529.5129608456</v>
      </c>
      <c r="M71" s="16">
        <f t="shared" si="23"/>
        <v>4185731.18047969</v>
      </c>
      <c r="N71" s="16">
        <f t="shared" si="23"/>
        <v>5155246.6366364658</v>
      </c>
      <c r="O71" s="16">
        <f t="shared" si="23"/>
        <v>4145718.2311930899</v>
      </c>
      <c r="P71" s="16">
        <f t="shared" si="23"/>
        <v>4122264.81270409</v>
      </c>
      <c r="Q71" s="16">
        <f t="shared" si="23"/>
        <v>4143084.9613496261</v>
      </c>
      <c r="R71" s="16">
        <f t="shared" si="23"/>
        <v>4223689.6966666654</v>
      </c>
    </row>
    <row r="72" spans="4:18" s="7" customFormat="1" ht="11.25" x14ac:dyDescent="0.2">
      <c r="D72" s="10" t="s">
        <v>66</v>
      </c>
      <c r="E72" s="19"/>
      <c r="F72" s="25">
        <f>SUM(G72:R72)</f>
        <v>55943695.001005679</v>
      </c>
      <c r="G72" s="21">
        <f>529142.2552344+2040449.875+334672+166666+2000000+179306.666666666</f>
        <v>5250236.7969010659</v>
      </c>
      <c r="H72" s="21">
        <f>462994.49576+2040449.875+334670+166666+2000000+179306.666666666</f>
        <v>5184087.0374266654</v>
      </c>
      <c r="I72" s="21">
        <f>515650.8581232+2040449.875+334670+166666+2000000+179306.666666666</f>
        <v>5236743.3997898661</v>
      </c>
      <c r="J72" s="21">
        <f>505434.618417408+2040449.875+334670+166666+2000000+179306.666666666</f>
        <v>5226527.1600840744</v>
      </c>
      <c r="K72" s="21">
        <f>494743.033146864+2040449.875+334670+166666+1000000+179306.666666666</f>
        <v>4215835.5748135298</v>
      </c>
      <c r="L72" s="21">
        <f>1133436.97129418+2040449.875+334670+166666+1000000+179306.666666666</f>
        <v>4854529.5129608456</v>
      </c>
      <c r="M72" s="21">
        <f>464638.638813024+2040449.875+334670+166666+1000000+179306.666666666</f>
        <v>4185731.18047969</v>
      </c>
      <c r="N72" s="21">
        <f>434154.0949698+2040449.875+334670+166666+2000000+179306.666666666</f>
        <v>5155246.6366364658</v>
      </c>
      <c r="O72" s="21">
        <f>424625.689526424+2040449.875+334670+166666+1000000+179306.666666666</f>
        <v>4145718.2311930899</v>
      </c>
      <c r="P72" s="21">
        <f>401172.271037424+2040449.875+334670+166666+1000000+179306.666666666</f>
        <v>4122264.81270409</v>
      </c>
      <c r="Q72" s="21">
        <f>421992.41968296+2040449.875+334670+166666+1000000+179306.666666666</f>
        <v>4143084.9613496261</v>
      </c>
      <c r="R72" s="21">
        <f>4044383.03+179306.666666666</f>
        <v>4223689.6966666654</v>
      </c>
    </row>
    <row r="73" spans="4:18" s="7" customFormat="1" ht="22.5" x14ac:dyDescent="0.2">
      <c r="D73" s="12" t="s">
        <v>67</v>
      </c>
      <c r="E73" s="19"/>
      <c r="F73" s="24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</row>
    <row r="74" spans="4:18" s="7" customFormat="1" ht="11.25" x14ac:dyDescent="0.2">
      <c r="D74" s="9" t="s">
        <v>68</v>
      </c>
      <c r="E74" s="19"/>
      <c r="F74" s="24">
        <f>F75+F76+F77+F79+F85</f>
        <v>164724363.99830726</v>
      </c>
      <c r="G74" s="16">
        <f t="shared" ref="G74:R74" si="24">G75+G76+G77+G79+G85</f>
        <v>13557050.890803929</v>
      </c>
      <c r="H74" s="16">
        <f t="shared" si="24"/>
        <v>13923743.571259931</v>
      </c>
      <c r="I74" s="16">
        <f t="shared" si="24"/>
        <v>13464442.96950393</v>
      </c>
      <c r="J74" s="16">
        <f t="shared" si="24"/>
        <v>13171573.717431931</v>
      </c>
      <c r="K74" s="16">
        <f t="shared" si="24"/>
        <v>14219401.91929993</v>
      </c>
      <c r="L74" s="16">
        <f t="shared" si="24"/>
        <v>14769497.00217603</v>
      </c>
      <c r="M74" s="16">
        <f t="shared" si="24"/>
        <v>12993978.710923931</v>
      </c>
      <c r="N74" s="16">
        <f t="shared" si="24"/>
        <v>13065663.46536793</v>
      </c>
      <c r="O74" s="16">
        <f t="shared" si="24"/>
        <v>13550113.77578393</v>
      </c>
      <c r="P74" s="16">
        <f t="shared" si="24"/>
        <v>13854621.37967593</v>
      </c>
      <c r="Q74" s="16">
        <f t="shared" si="24"/>
        <v>14016920.334539929</v>
      </c>
      <c r="R74" s="16">
        <f t="shared" si="24"/>
        <v>14137356.26153993</v>
      </c>
    </row>
    <row r="75" spans="4:18" s="7" customFormat="1" ht="11.25" x14ac:dyDescent="0.2">
      <c r="D75" s="10" t="s">
        <v>69</v>
      </c>
      <c r="E75" s="19"/>
      <c r="F75" s="25">
        <f>SUM(G75:R75)</f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</row>
    <row r="76" spans="4:18" s="7" customFormat="1" ht="11.25" x14ac:dyDescent="0.2">
      <c r="D76" s="13" t="s">
        <v>70</v>
      </c>
      <c r="E76" s="19"/>
      <c r="F76" s="24">
        <f>SUM(G76:R76)</f>
        <v>164724363.99830726</v>
      </c>
      <c r="G76" s="16">
        <f>11269212.5574706+2287838.33333333</f>
        <v>13557050.890803929</v>
      </c>
      <c r="H76" s="16">
        <f>11635905.2379266+2287838.33333333</f>
        <v>13923743.571259931</v>
      </c>
      <c r="I76" s="16">
        <f>11176604.6361706+2287838.33333333</f>
        <v>13464442.96950393</v>
      </c>
      <c r="J76" s="16">
        <f>10883735.3840986+2287838.33333333</f>
        <v>13171573.717431931</v>
      </c>
      <c r="K76" s="16">
        <f>11931563.5859666+2287838.33333333</f>
        <v>14219401.91929993</v>
      </c>
      <c r="L76" s="16">
        <f>12481658.6688427+2287838.33333333</f>
        <v>14769497.00217603</v>
      </c>
      <c r="M76" s="16">
        <f>10706140.3775906+2287838.33333333</f>
        <v>12993978.710923931</v>
      </c>
      <c r="N76" s="16">
        <f>10777825.1320346+2287838.33333333</f>
        <v>13065663.46536793</v>
      </c>
      <c r="O76" s="16">
        <f>11262275.4424506+2287838.33333333</f>
        <v>13550113.77578393</v>
      </c>
      <c r="P76" s="16">
        <f>11566783.0463426+2287838.33333333</f>
        <v>13854621.37967593</v>
      </c>
      <c r="Q76" s="16">
        <f>11729082.0012066+2287838.33333333</f>
        <v>14016920.334539929</v>
      </c>
      <c r="R76" s="16">
        <f>11849517.9282066+2287838.33333333</f>
        <v>14137356.26153993</v>
      </c>
    </row>
    <row r="77" spans="4:18" s="7" customFormat="1" ht="11.25" x14ac:dyDescent="0.2">
      <c r="D77" s="9" t="s">
        <v>71</v>
      </c>
      <c r="E77" s="19"/>
      <c r="F77" s="24">
        <f>F78</f>
        <v>0</v>
      </c>
      <c r="G77" s="16">
        <f t="shared" ref="G77:R77" si="25">G78</f>
        <v>0</v>
      </c>
      <c r="H77" s="16">
        <f t="shared" si="25"/>
        <v>0</v>
      </c>
      <c r="I77" s="16">
        <f t="shared" si="25"/>
        <v>0</v>
      </c>
      <c r="J77" s="16">
        <f t="shared" si="25"/>
        <v>0</v>
      </c>
      <c r="K77" s="16">
        <f t="shared" si="25"/>
        <v>0</v>
      </c>
      <c r="L77" s="16">
        <f t="shared" si="25"/>
        <v>0</v>
      </c>
      <c r="M77" s="16">
        <f t="shared" si="25"/>
        <v>0</v>
      </c>
      <c r="N77" s="16">
        <f t="shared" si="25"/>
        <v>0</v>
      </c>
      <c r="O77" s="16">
        <f t="shared" si="25"/>
        <v>0</v>
      </c>
      <c r="P77" s="16">
        <f t="shared" si="25"/>
        <v>0</v>
      </c>
      <c r="Q77" s="16">
        <f t="shared" si="25"/>
        <v>0</v>
      </c>
      <c r="R77" s="16">
        <f t="shared" si="25"/>
        <v>0</v>
      </c>
    </row>
    <row r="78" spans="4:18" s="7" customFormat="1" ht="11.25" x14ac:dyDescent="0.2">
      <c r="D78" s="10" t="s">
        <v>72</v>
      </c>
      <c r="E78" s="19"/>
      <c r="F78" s="25">
        <f>SUM(G78:R78)</f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</row>
    <row r="79" spans="4:18" s="7" customFormat="1" ht="11.25" x14ac:dyDescent="0.2">
      <c r="D79" s="9" t="s">
        <v>73</v>
      </c>
      <c r="E79" s="19"/>
      <c r="F79" s="24">
        <f>SUM(F80:F84)</f>
        <v>0</v>
      </c>
      <c r="G79" s="16">
        <f t="shared" ref="G79:R79" si="26">SUM(G80:G84)</f>
        <v>0</v>
      </c>
      <c r="H79" s="16">
        <f t="shared" si="26"/>
        <v>0</v>
      </c>
      <c r="I79" s="16">
        <f t="shared" si="26"/>
        <v>0</v>
      </c>
      <c r="J79" s="16">
        <f t="shared" si="26"/>
        <v>0</v>
      </c>
      <c r="K79" s="16">
        <f t="shared" si="26"/>
        <v>0</v>
      </c>
      <c r="L79" s="16">
        <f t="shared" si="26"/>
        <v>0</v>
      </c>
      <c r="M79" s="16">
        <f t="shared" si="26"/>
        <v>0</v>
      </c>
      <c r="N79" s="16">
        <f t="shared" si="26"/>
        <v>0</v>
      </c>
      <c r="O79" s="16">
        <f t="shared" si="26"/>
        <v>0</v>
      </c>
      <c r="P79" s="16">
        <f t="shared" si="26"/>
        <v>0</v>
      </c>
      <c r="Q79" s="16">
        <f t="shared" si="26"/>
        <v>0</v>
      </c>
      <c r="R79" s="16">
        <f t="shared" si="26"/>
        <v>0</v>
      </c>
    </row>
    <row r="80" spans="4:18" s="7" customFormat="1" ht="11.25" x14ac:dyDescent="0.2">
      <c r="D80" s="10" t="s">
        <v>74</v>
      </c>
      <c r="E80" s="19"/>
      <c r="F80" s="25">
        <f>SUM(G80:R80)</f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</row>
    <row r="81" spans="4:18" s="7" customFormat="1" ht="11.25" x14ac:dyDescent="0.2">
      <c r="D81" s="10" t="s">
        <v>75</v>
      </c>
      <c r="E81" s="19"/>
      <c r="F81" s="25">
        <f t="shared" ref="F81:F84" si="27">SUM(G81:R81)</f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</row>
    <row r="82" spans="4:18" s="7" customFormat="1" ht="11.25" x14ac:dyDescent="0.2">
      <c r="D82" s="10" t="s">
        <v>31</v>
      </c>
      <c r="E82" s="19"/>
      <c r="F82" s="25">
        <f t="shared" si="27"/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</row>
    <row r="83" spans="4:18" s="7" customFormat="1" ht="11.25" x14ac:dyDescent="0.2">
      <c r="D83" s="10" t="s">
        <v>32</v>
      </c>
      <c r="E83" s="19"/>
      <c r="F83" s="25">
        <f t="shared" si="27"/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</row>
    <row r="84" spans="4:18" s="7" customFormat="1" ht="11.25" x14ac:dyDescent="0.2">
      <c r="D84" s="10" t="s">
        <v>76</v>
      </c>
      <c r="E84" s="19"/>
      <c r="F84" s="25">
        <f t="shared" si="27"/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</row>
    <row r="85" spans="4:18" s="7" customFormat="1" ht="22.5" x14ac:dyDescent="0.2">
      <c r="D85" s="12" t="s">
        <v>77</v>
      </c>
      <c r="E85" s="19"/>
      <c r="F85" s="24">
        <f>SUM(G85:R85)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</row>
    <row r="86" spans="4:18" s="7" customFormat="1" ht="11.25" x14ac:dyDescent="0.2">
      <c r="D86" s="9" t="s">
        <v>78</v>
      </c>
      <c r="E86" s="19"/>
      <c r="F86" s="24">
        <f>SUM(F87:F95)</f>
        <v>0</v>
      </c>
      <c r="G86" s="16">
        <f t="shared" ref="G86:R86" si="28">SUM(G87:G95)</f>
        <v>0</v>
      </c>
      <c r="H86" s="16">
        <f t="shared" si="28"/>
        <v>0</v>
      </c>
      <c r="I86" s="16">
        <f t="shared" si="28"/>
        <v>0</v>
      </c>
      <c r="J86" s="16">
        <f t="shared" si="28"/>
        <v>0</v>
      </c>
      <c r="K86" s="16">
        <f t="shared" si="28"/>
        <v>0</v>
      </c>
      <c r="L86" s="16">
        <f t="shared" si="28"/>
        <v>0</v>
      </c>
      <c r="M86" s="16">
        <f t="shared" si="28"/>
        <v>0</v>
      </c>
      <c r="N86" s="16">
        <f t="shared" si="28"/>
        <v>0</v>
      </c>
      <c r="O86" s="16">
        <f t="shared" si="28"/>
        <v>0</v>
      </c>
      <c r="P86" s="16">
        <f t="shared" si="28"/>
        <v>0</v>
      </c>
      <c r="Q86" s="16">
        <f t="shared" si="28"/>
        <v>0</v>
      </c>
      <c r="R86" s="16">
        <f t="shared" si="28"/>
        <v>0</v>
      </c>
    </row>
    <row r="87" spans="4:18" s="7" customFormat="1" ht="22.5" x14ac:dyDescent="0.2">
      <c r="D87" s="12" t="s">
        <v>79</v>
      </c>
      <c r="E87" s="19"/>
      <c r="F87" s="24">
        <f>SUM(G87:R87)</f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</row>
    <row r="88" spans="4:18" s="7" customFormat="1" ht="22.5" x14ac:dyDescent="0.2">
      <c r="D88" s="9" t="s">
        <v>80</v>
      </c>
      <c r="E88" s="19"/>
      <c r="F88" s="24">
        <f t="shared" ref="F88:F95" si="29">SUM(G88:R88)</f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</row>
    <row r="89" spans="4:18" s="7" customFormat="1" ht="22.5" x14ac:dyDescent="0.2">
      <c r="D89" s="9" t="s">
        <v>81</v>
      </c>
      <c r="E89" s="19"/>
      <c r="F89" s="24">
        <f t="shared" si="29"/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</row>
    <row r="90" spans="4:18" s="7" customFormat="1" ht="33.75" x14ac:dyDescent="0.2">
      <c r="D90" s="12" t="s">
        <v>82</v>
      </c>
      <c r="E90" s="19"/>
      <c r="F90" s="24">
        <f t="shared" si="29"/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</row>
    <row r="91" spans="4:18" s="7" customFormat="1" ht="33.75" x14ac:dyDescent="0.2">
      <c r="D91" s="12" t="s">
        <v>83</v>
      </c>
      <c r="E91" s="19"/>
      <c r="F91" s="24">
        <f t="shared" si="29"/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4:18" s="7" customFormat="1" ht="33.75" x14ac:dyDescent="0.2">
      <c r="D92" s="12" t="s">
        <v>84</v>
      </c>
      <c r="E92" s="19"/>
      <c r="F92" s="24">
        <f t="shared" si="29"/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</row>
    <row r="93" spans="4:18" s="7" customFormat="1" ht="22.5" x14ac:dyDescent="0.2">
      <c r="D93" s="12" t="s">
        <v>85</v>
      </c>
      <c r="E93" s="19"/>
      <c r="F93" s="24">
        <f t="shared" si="29"/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</row>
    <row r="94" spans="4:18" s="7" customFormat="1" ht="22.5" x14ac:dyDescent="0.2">
      <c r="D94" s="12" t="s">
        <v>86</v>
      </c>
      <c r="E94" s="19"/>
      <c r="F94" s="24">
        <f t="shared" si="29"/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</row>
    <row r="95" spans="4:18" s="7" customFormat="1" ht="11.25" x14ac:dyDescent="0.2">
      <c r="D95" s="9" t="s">
        <v>87</v>
      </c>
      <c r="E95" s="19"/>
      <c r="F95" s="24">
        <f t="shared" si="29"/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</row>
    <row r="96" spans="4:18" s="7" customFormat="1" ht="22.5" x14ac:dyDescent="0.2">
      <c r="D96" s="9" t="s">
        <v>88</v>
      </c>
      <c r="E96" s="19"/>
      <c r="F96" s="24">
        <f>F97+F106+F109+F112+F118</f>
        <v>2556588060.999999</v>
      </c>
      <c r="G96" s="16">
        <f t="shared" ref="G96:R96" si="30">G97+G106+G109+G112+G118</f>
        <v>281699690.99999982</v>
      </c>
      <c r="H96" s="16">
        <f t="shared" si="30"/>
        <v>288673155.99999982</v>
      </c>
      <c r="I96" s="16">
        <f t="shared" si="30"/>
        <v>229846317.99999982</v>
      </c>
      <c r="J96" s="16">
        <f t="shared" si="30"/>
        <v>228383649.99999982</v>
      </c>
      <c r="K96" s="16">
        <f t="shared" si="30"/>
        <v>199095573.99999982</v>
      </c>
      <c r="L96" s="16">
        <f t="shared" si="30"/>
        <v>204323844.99999982</v>
      </c>
      <c r="M96" s="16">
        <f t="shared" si="30"/>
        <v>195486921.99999982</v>
      </c>
      <c r="N96" s="16">
        <f t="shared" si="30"/>
        <v>196723520.99999982</v>
      </c>
      <c r="O96" s="16">
        <f t="shared" si="30"/>
        <v>189120504.99999982</v>
      </c>
      <c r="P96" s="16">
        <f t="shared" si="30"/>
        <v>175799849.99999982</v>
      </c>
      <c r="Q96" s="16">
        <f t="shared" si="30"/>
        <v>184583902.99999982</v>
      </c>
      <c r="R96" s="16">
        <f t="shared" si="30"/>
        <v>182851125.99999982</v>
      </c>
    </row>
    <row r="97" spans="4:19" s="7" customFormat="1" ht="11.25" x14ac:dyDescent="0.2">
      <c r="D97" s="9" t="s">
        <v>89</v>
      </c>
      <c r="E97" s="19"/>
      <c r="F97" s="24">
        <f>SUM(F98:F105)</f>
        <v>1729045846.0000002</v>
      </c>
      <c r="G97" s="16">
        <f t="shared" ref="G97:R97" si="31">SUM(G98:G105)</f>
        <v>212737839.74999997</v>
      </c>
      <c r="H97" s="16">
        <f t="shared" si="31"/>
        <v>219711304.74999997</v>
      </c>
      <c r="I97" s="16">
        <f t="shared" si="31"/>
        <v>160884466.74999997</v>
      </c>
      <c r="J97" s="16">
        <f t="shared" si="31"/>
        <v>159421798.74999997</v>
      </c>
      <c r="K97" s="16">
        <f t="shared" si="31"/>
        <v>130133722.74999997</v>
      </c>
      <c r="L97" s="16">
        <f t="shared" si="31"/>
        <v>135361993.74999997</v>
      </c>
      <c r="M97" s="16">
        <f t="shared" si="31"/>
        <v>126525070.74999997</v>
      </c>
      <c r="N97" s="16">
        <f t="shared" si="31"/>
        <v>127761669.74999997</v>
      </c>
      <c r="O97" s="16">
        <f t="shared" si="31"/>
        <v>120158653.74999997</v>
      </c>
      <c r="P97" s="16">
        <f t="shared" si="31"/>
        <v>106837998.74999997</v>
      </c>
      <c r="Q97" s="16">
        <f t="shared" si="31"/>
        <v>115622051.74999997</v>
      </c>
      <c r="R97" s="16">
        <f t="shared" si="31"/>
        <v>113889274.74999997</v>
      </c>
    </row>
    <row r="98" spans="4:19" s="7" customFormat="1" ht="11.25" x14ac:dyDescent="0.2">
      <c r="D98" s="10" t="s">
        <v>90</v>
      </c>
      <c r="E98" s="19"/>
      <c r="F98" s="25">
        <f>SUM(G98:R98)</f>
        <v>1504070782.0000002</v>
      </c>
      <c r="G98" s="21">
        <f>187573195+4820739.66666666</f>
        <v>192393934.66666666</v>
      </c>
      <c r="H98" s="21">
        <f>195353616+4820739.66666666</f>
        <v>200174355.66666666</v>
      </c>
      <c r="I98" s="21">
        <f>136706199+4820739.66666666</f>
        <v>141526938.66666666</v>
      </c>
      <c r="J98" s="21">
        <f>134393826+4820739.66666666</f>
        <v>139214565.66666666</v>
      </c>
      <c r="K98" s="21">
        <f>105981529+4820739.66666666</f>
        <v>110802268.66666666</v>
      </c>
      <c r="L98" s="21">
        <f>110677519+4820739.66666666</f>
        <v>115498258.66666666</v>
      </c>
      <c r="M98" s="21">
        <f>102683423+4820739.66666666</f>
        <v>107504162.66666666</v>
      </c>
      <c r="N98" s="21">
        <f>103796489+4820739.66666666</f>
        <v>108617228.66666666</v>
      </c>
      <c r="O98" s="21">
        <f>96055690+4820739.66666666</f>
        <v>100876429.66666666</v>
      </c>
      <c r="P98" s="21">
        <f>85233071+4820739.66666666</f>
        <v>90053810.666666657</v>
      </c>
      <c r="Q98" s="21">
        <f>94657552+4820739.66666666</f>
        <v>99478291.666666657</v>
      </c>
      <c r="R98" s="21">
        <f>93109797+4820739.66666666</f>
        <v>97930536.666666657</v>
      </c>
    </row>
    <row r="99" spans="4:19" s="7" customFormat="1" ht="11.25" x14ac:dyDescent="0.2">
      <c r="D99" s="10" t="s">
        <v>91</v>
      </c>
      <c r="E99" s="19"/>
      <c r="F99" s="25">
        <f t="shared" ref="F99:F105" si="32">SUM(G99:R99)</f>
        <v>171961544</v>
      </c>
      <c r="G99" s="21">
        <f>15374953+551158.75</f>
        <v>15926111.75</v>
      </c>
      <c r="H99" s="21">
        <f>14567997+551158.75</f>
        <v>15119155.75</v>
      </c>
      <c r="I99" s="21">
        <f>14388576+551158.75</f>
        <v>14939734.75</v>
      </c>
      <c r="J99" s="21">
        <f>15238281+551158.75</f>
        <v>15789439.75</v>
      </c>
      <c r="K99" s="21">
        <f>14362502+551158.75</f>
        <v>14913660.75</v>
      </c>
      <c r="L99" s="21">
        <f>14894783+551158.75</f>
        <v>15445941.75</v>
      </c>
      <c r="M99" s="21">
        <f>14051956+551158.75</f>
        <v>14603114.75</v>
      </c>
      <c r="N99" s="21">
        <f>14175489+551158.75</f>
        <v>14726647.75</v>
      </c>
      <c r="O99" s="21">
        <f>14313272+551158.75</f>
        <v>14864430.75</v>
      </c>
      <c r="P99" s="21">
        <f>11815236+551158.75</f>
        <v>12366394.75</v>
      </c>
      <c r="Q99" s="21">
        <f>11174808+551158.75</f>
        <v>11725966.75</v>
      </c>
      <c r="R99" s="21">
        <f>10989786+551158.75</f>
        <v>11540944.75</v>
      </c>
    </row>
    <row r="100" spans="4:19" s="7" customFormat="1" ht="11.25" x14ac:dyDescent="0.2">
      <c r="D100" s="10" t="s">
        <v>92</v>
      </c>
      <c r="E100" s="19"/>
      <c r="F100" s="25">
        <f t="shared" si="32"/>
        <v>5063632.9999999916</v>
      </c>
      <c r="G100" s="17">
        <v>421969.41666666599</v>
      </c>
      <c r="H100" s="17">
        <v>421969.41666666599</v>
      </c>
      <c r="I100" s="17">
        <v>421969.41666666599</v>
      </c>
      <c r="J100" s="17">
        <v>421969.41666666599</v>
      </c>
      <c r="K100" s="17">
        <v>421969.41666666599</v>
      </c>
      <c r="L100" s="17">
        <v>421969.41666666599</v>
      </c>
      <c r="M100" s="17">
        <v>421969.41666666599</v>
      </c>
      <c r="N100" s="17">
        <v>421969.41666666599</v>
      </c>
      <c r="O100" s="17">
        <v>421969.41666666599</v>
      </c>
      <c r="P100" s="17">
        <v>421969.41666666599</v>
      </c>
      <c r="Q100" s="17">
        <v>421969.41666666599</v>
      </c>
      <c r="R100" s="17">
        <v>421969.41666666599</v>
      </c>
    </row>
    <row r="101" spans="4:19" s="7" customFormat="1" ht="11.25" x14ac:dyDescent="0.2">
      <c r="D101" s="10" t="s">
        <v>93</v>
      </c>
      <c r="E101" s="19"/>
      <c r="F101" s="25">
        <f t="shared" si="32"/>
        <v>19979737.999999922</v>
      </c>
      <c r="G101" s="17">
        <v>1664978.16666666</v>
      </c>
      <c r="H101" s="17">
        <v>1664978.16666666</v>
      </c>
      <c r="I101" s="17">
        <v>1664978.16666666</v>
      </c>
      <c r="J101" s="17">
        <v>1664978.16666666</v>
      </c>
      <c r="K101" s="17">
        <v>1664978.16666666</v>
      </c>
      <c r="L101" s="17">
        <v>1664978.16666666</v>
      </c>
      <c r="M101" s="17">
        <v>1664978.16666666</v>
      </c>
      <c r="N101" s="17">
        <v>1664978.16666666</v>
      </c>
      <c r="O101" s="17">
        <v>1664978.16666666</v>
      </c>
      <c r="P101" s="17">
        <v>1664978.16666666</v>
      </c>
      <c r="Q101" s="17">
        <v>1664978.16666666</v>
      </c>
      <c r="R101" s="17">
        <v>1664978.16666666</v>
      </c>
    </row>
    <row r="102" spans="4:19" s="7" customFormat="1" ht="11.25" x14ac:dyDescent="0.2">
      <c r="D102" s="10" t="s">
        <v>94</v>
      </c>
      <c r="E102" s="19"/>
      <c r="F102" s="25">
        <f t="shared" si="32"/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</row>
    <row r="103" spans="4:19" s="7" customFormat="1" ht="11.25" x14ac:dyDescent="0.2">
      <c r="D103" s="10" t="s">
        <v>95</v>
      </c>
      <c r="E103" s="19"/>
      <c r="F103" s="25">
        <f t="shared" si="32"/>
        <v>13798726.999999924</v>
      </c>
      <c r="G103" s="17">
        <v>1149893.91666666</v>
      </c>
      <c r="H103" s="17">
        <v>1149893.91666666</v>
      </c>
      <c r="I103" s="17">
        <v>1149893.91666666</v>
      </c>
      <c r="J103" s="17">
        <v>1149893.91666666</v>
      </c>
      <c r="K103" s="17">
        <v>1149893.91666666</v>
      </c>
      <c r="L103" s="17">
        <v>1149893.91666666</v>
      </c>
      <c r="M103" s="17">
        <v>1149893.91666666</v>
      </c>
      <c r="N103" s="17">
        <v>1149893.91666666</v>
      </c>
      <c r="O103" s="17">
        <v>1149893.91666666</v>
      </c>
      <c r="P103" s="17">
        <v>1149893.91666666</v>
      </c>
      <c r="Q103" s="17">
        <v>1149893.91666666</v>
      </c>
      <c r="R103" s="17">
        <v>1149893.91666666</v>
      </c>
    </row>
    <row r="104" spans="4:19" s="7" customFormat="1" ht="11.25" x14ac:dyDescent="0.2">
      <c r="D104" s="10" t="s">
        <v>96</v>
      </c>
      <c r="E104" s="19"/>
      <c r="F104" s="25">
        <f t="shared" si="32"/>
        <v>14171421.999999961</v>
      </c>
      <c r="G104" s="17">
        <v>1180951.83333333</v>
      </c>
      <c r="H104" s="17">
        <v>1180951.83333333</v>
      </c>
      <c r="I104" s="17">
        <v>1180951.83333333</v>
      </c>
      <c r="J104" s="17">
        <v>1180951.83333333</v>
      </c>
      <c r="K104" s="17">
        <v>1180951.83333333</v>
      </c>
      <c r="L104" s="17">
        <v>1180951.83333333</v>
      </c>
      <c r="M104" s="17">
        <v>1180951.83333333</v>
      </c>
      <c r="N104" s="17">
        <v>1180951.83333333</v>
      </c>
      <c r="O104" s="17">
        <v>1180951.83333333</v>
      </c>
      <c r="P104" s="17">
        <v>1180951.83333333</v>
      </c>
      <c r="Q104" s="17">
        <v>1180951.83333333</v>
      </c>
      <c r="R104" s="17">
        <v>1180951.83333333</v>
      </c>
    </row>
    <row r="105" spans="4:19" s="7" customFormat="1" ht="11.25" x14ac:dyDescent="0.2">
      <c r="D105" s="10" t="s">
        <v>97</v>
      </c>
      <c r="E105" s="19"/>
      <c r="F105" s="25">
        <f t="shared" si="32"/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</row>
    <row r="106" spans="4:19" s="7" customFormat="1" ht="11.25" x14ac:dyDescent="0.2">
      <c r="D106" s="9" t="s">
        <v>98</v>
      </c>
      <c r="E106" s="19"/>
      <c r="F106" s="24">
        <f>SUM(F107:F108)</f>
        <v>815682417.99999857</v>
      </c>
      <c r="G106" s="16">
        <f t="shared" ref="G106:R106" si="33">SUM(G107:G108)</f>
        <v>67973534.833333194</v>
      </c>
      <c r="H106" s="16">
        <f t="shared" si="33"/>
        <v>67973534.833333194</v>
      </c>
      <c r="I106" s="16">
        <f t="shared" si="33"/>
        <v>67973534.833333194</v>
      </c>
      <c r="J106" s="16">
        <f t="shared" si="33"/>
        <v>67973534.833333194</v>
      </c>
      <c r="K106" s="16">
        <f t="shared" si="33"/>
        <v>67973534.833333194</v>
      </c>
      <c r="L106" s="16">
        <f t="shared" si="33"/>
        <v>67973534.833333194</v>
      </c>
      <c r="M106" s="16">
        <f t="shared" si="33"/>
        <v>67973534.833333194</v>
      </c>
      <c r="N106" s="16">
        <f t="shared" si="33"/>
        <v>67973534.833333194</v>
      </c>
      <c r="O106" s="16">
        <f t="shared" si="33"/>
        <v>67973534.833333194</v>
      </c>
      <c r="P106" s="16">
        <f t="shared" si="33"/>
        <v>67973534.833333194</v>
      </c>
      <c r="Q106" s="16">
        <f t="shared" si="33"/>
        <v>67973534.833333194</v>
      </c>
      <c r="R106" s="16">
        <f t="shared" si="33"/>
        <v>67973534.833333194</v>
      </c>
    </row>
    <row r="107" spans="4:19" s="7" customFormat="1" ht="11.25" x14ac:dyDescent="0.2">
      <c r="D107" s="10" t="s">
        <v>99</v>
      </c>
      <c r="E107" s="19"/>
      <c r="F107" s="25">
        <f>SUM(G107:R107)</f>
        <v>273487393.99999923</v>
      </c>
      <c r="G107" s="21">
        <v>22790616.166666601</v>
      </c>
      <c r="H107" s="21">
        <v>22790616.166666601</v>
      </c>
      <c r="I107" s="21">
        <v>22790616.166666601</v>
      </c>
      <c r="J107" s="21">
        <v>22790616.166666601</v>
      </c>
      <c r="K107" s="21">
        <v>22790616.166666601</v>
      </c>
      <c r="L107" s="21">
        <v>22790616.166666601</v>
      </c>
      <c r="M107" s="21">
        <v>22790616.166666601</v>
      </c>
      <c r="N107" s="21">
        <v>22790616.166666601</v>
      </c>
      <c r="O107" s="21">
        <v>22790616.166666601</v>
      </c>
      <c r="P107" s="21">
        <v>22790616.166666601</v>
      </c>
      <c r="Q107" s="21">
        <v>22790616.166666601</v>
      </c>
      <c r="R107" s="21">
        <v>22790616.166666601</v>
      </c>
      <c r="S107" s="21"/>
    </row>
    <row r="108" spans="4:19" s="7" customFormat="1" ht="22.5" x14ac:dyDescent="0.2">
      <c r="D108" s="10" t="s">
        <v>100</v>
      </c>
      <c r="E108" s="22"/>
      <c r="F108" s="27">
        <f>SUM(G108:R108)</f>
        <v>542195023.99999928</v>
      </c>
      <c r="G108" s="21">
        <v>45182918.666666597</v>
      </c>
      <c r="H108" s="21">
        <v>45182918.666666597</v>
      </c>
      <c r="I108" s="21">
        <v>45182918.666666597</v>
      </c>
      <c r="J108" s="21">
        <v>45182918.666666597</v>
      </c>
      <c r="K108" s="21">
        <v>45182918.666666597</v>
      </c>
      <c r="L108" s="21">
        <v>45182918.666666597</v>
      </c>
      <c r="M108" s="21">
        <v>45182918.666666597</v>
      </c>
      <c r="N108" s="21">
        <v>45182918.666666597</v>
      </c>
      <c r="O108" s="21">
        <v>45182918.666666597</v>
      </c>
      <c r="P108" s="21">
        <v>45182918.666666597</v>
      </c>
      <c r="Q108" s="21">
        <v>45182918.666666597</v>
      </c>
      <c r="R108" s="21">
        <v>45182918.666666597</v>
      </c>
    </row>
    <row r="109" spans="4:19" s="7" customFormat="1" ht="11.25" x14ac:dyDescent="0.2">
      <c r="D109" s="9" t="s">
        <v>101</v>
      </c>
      <c r="E109" s="19"/>
      <c r="F109" s="24">
        <f>SUM(F110)</f>
        <v>0</v>
      </c>
      <c r="G109" s="16">
        <f t="shared" ref="G109:R109" si="34">SUM(G110)</f>
        <v>0</v>
      </c>
      <c r="H109" s="16">
        <f t="shared" si="34"/>
        <v>0</v>
      </c>
      <c r="I109" s="16">
        <f t="shared" si="34"/>
        <v>0</v>
      </c>
      <c r="J109" s="16">
        <f t="shared" si="34"/>
        <v>0</v>
      </c>
      <c r="K109" s="16">
        <f t="shared" si="34"/>
        <v>0</v>
      </c>
      <c r="L109" s="16">
        <f t="shared" si="34"/>
        <v>0</v>
      </c>
      <c r="M109" s="16">
        <f t="shared" si="34"/>
        <v>0</v>
      </c>
      <c r="N109" s="16">
        <f t="shared" si="34"/>
        <v>0</v>
      </c>
      <c r="O109" s="16">
        <f t="shared" si="34"/>
        <v>0</v>
      </c>
      <c r="P109" s="16">
        <f t="shared" si="34"/>
        <v>0</v>
      </c>
      <c r="Q109" s="16">
        <f t="shared" si="34"/>
        <v>0</v>
      </c>
      <c r="R109" s="16">
        <f t="shared" si="34"/>
        <v>0</v>
      </c>
    </row>
    <row r="110" spans="4:19" s="7" customFormat="1" ht="11.25" x14ac:dyDescent="0.2">
      <c r="D110" s="10" t="s">
        <v>102</v>
      </c>
      <c r="E110" s="19"/>
      <c r="F110" s="25">
        <f>SUM(G110:R110)</f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</row>
    <row r="111" spans="4:19" s="7" customFormat="1" ht="11.25" x14ac:dyDescent="0.2">
      <c r="D111" s="10" t="s">
        <v>103</v>
      </c>
      <c r="E111" s="19"/>
      <c r="F111" s="25">
        <f>SUM(G111:R111)</f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</row>
    <row r="112" spans="4:19" s="7" customFormat="1" ht="11.25" x14ac:dyDescent="0.2">
      <c r="D112" s="9" t="s">
        <v>104</v>
      </c>
      <c r="E112" s="19"/>
      <c r="F112" s="24">
        <f>SUM(F113:F117)</f>
        <v>11859796.999999993</v>
      </c>
      <c r="G112" s="16">
        <f t="shared" ref="G112:R112" si="35">SUM(G113:G117)</f>
        <v>988316.41666666605</v>
      </c>
      <c r="H112" s="16">
        <f t="shared" si="35"/>
        <v>988316.41666666605</v>
      </c>
      <c r="I112" s="16">
        <f t="shared" si="35"/>
        <v>988316.41666666605</v>
      </c>
      <c r="J112" s="16">
        <f t="shared" si="35"/>
        <v>988316.41666666605</v>
      </c>
      <c r="K112" s="16">
        <f t="shared" si="35"/>
        <v>988316.41666666605</v>
      </c>
      <c r="L112" s="16">
        <f t="shared" si="35"/>
        <v>988316.41666666605</v>
      </c>
      <c r="M112" s="16">
        <f t="shared" si="35"/>
        <v>988316.41666666605</v>
      </c>
      <c r="N112" s="16">
        <f t="shared" si="35"/>
        <v>988316.41666666605</v>
      </c>
      <c r="O112" s="16">
        <f t="shared" si="35"/>
        <v>988316.41666666605</v>
      </c>
      <c r="P112" s="16">
        <f t="shared" si="35"/>
        <v>988316.41666666605</v>
      </c>
      <c r="Q112" s="16">
        <f t="shared" si="35"/>
        <v>988316.41666666605</v>
      </c>
      <c r="R112" s="16">
        <f t="shared" si="35"/>
        <v>988316.41666666605</v>
      </c>
    </row>
    <row r="113" spans="4:18" s="7" customFormat="1" ht="11.25" x14ac:dyDescent="0.2">
      <c r="D113" s="10" t="s">
        <v>105</v>
      </c>
      <c r="E113" s="19"/>
      <c r="F113" s="25">
        <f>SUM(G113:R113)</f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</row>
    <row r="114" spans="4:18" s="7" customFormat="1" ht="11.25" x14ac:dyDescent="0.2">
      <c r="D114" s="10" t="s">
        <v>106</v>
      </c>
      <c r="E114" s="19"/>
      <c r="F114" s="25">
        <f t="shared" ref="F114" si="36">SUM(G114:R114)</f>
        <v>2426118</v>
      </c>
      <c r="G114" s="17">
        <v>202176.5</v>
      </c>
      <c r="H114" s="17">
        <v>202176.5</v>
      </c>
      <c r="I114" s="17">
        <v>202176.5</v>
      </c>
      <c r="J114" s="17">
        <v>202176.5</v>
      </c>
      <c r="K114" s="17">
        <v>202176.5</v>
      </c>
      <c r="L114" s="17">
        <v>202176.5</v>
      </c>
      <c r="M114" s="17">
        <v>202176.5</v>
      </c>
      <c r="N114" s="17">
        <v>202176.5</v>
      </c>
      <c r="O114" s="17">
        <v>202176.5</v>
      </c>
      <c r="P114" s="17">
        <v>202176.5</v>
      </c>
      <c r="Q114" s="17">
        <v>202176.5</v>
      </c>
      <c r="R114" s="17">
        <v>202176.5</v>
      </c>
    </row>
    <row r="115" spans="4:18" s="7" customFormat="1" ht="11.25" x14ac:dyDescent="0.2">
      <c r="D115" s="10" t="s">
        <v>107</v>
      </c>
      <c r="E115" s="19"/>
      <c r="F115" s="25">
        <f>SUM(G115:R115)</f>
        <v>9433678.9999999925</v>
      </c>
      <c r="G115" s="17">
        <v>786139.91666666605</v>
      </c>
      <c r="H115" s="17">
        <v>786139.91666666605</v>
      </c>
      <c r="I115" s="17">
        <v>786139.91666666605</v>
      </c>
      <c r="J115" s="17">
        <v>786139.91666666605</v>
      </c>
      <c r="K115" s="17">
        <v>786139.91666666605</v>
      </c>
      <c r="L115" s="17">
        <v>786139.91666666605</v>
      </c>
      <c r="M115" s="17">
        <v>786139.91666666605</v>
      </c>
      <c r="N115" s="17">
        <v>786139.91666666605</v>
      </c>
      <c r="O115" s="17">
        <v>786139.91666666605</v>
      </c>
      <c r="P115" s="17">
        <v>786139.91666666605</v>
      </c>
      <c r="Q115" s="17">
        <v>786139.91666666605</v>
      </c>
      <c r="R115" s="17">
        <v>786139.91666666605</v>
      </c>
    </row>
    <row r="116" spans="4:18" s="7" customFormat="1" ht="11.25" x14ac:dyDescent="0.2">
      <c r="D116" s="10" t="s">
        <v>108</v>
      </c>
      <c r="E116" s="19"/>
      <c r="F116" s="25">
        <f>SUM(G116:R116)</f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</row>
    <row r="117" spans="4:18" s="7" customFormat="1" ht="11.25" x14ac:dyDescent="0.2">
      <c r="D117" s="10" t="s">
        <v>109</v>
      </c>
      <c r="E117" s="19"/>
      <c r="F117" s="25">
        <f>SUM(G117:R117)</f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</row>
    <row r="118" spans="4:18" s="7" customFormat="1" ht="11.25" x14ac:dyDescent="0.2">
      <c r="D118" s="9" t="s">
        <v>110</v>
      </c>
      <c r="E118" s="19"/>
      <c r="F118" s="24">
        <f>SUM(G118:R118)</f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</row>
    <row r="119" spans="4:18" s="7" customFormat="1" ht="22.5" x14ac:dyDescent="0.2">
      <c r="D119" s="12" t="s">
        <v>111</v>
      </c>
      <c r="E119" s="19"/>
      <c r="F119" s="24">
        <f>F120+F123+F126+F127</f>
        <v>0</v>
      </c>
      <c r="G119" s="16">
        <f t="shared" ref="G119:R119" si="37">G120+G123+G126+G127</f>
        <v>0</v>
      </c>
      <c r="H119" s="16">
        <f t="shared" si="37"/>
        <v>0</v>
      </c>
      <c r="I119" s="16">
        <f t="shared" si="37"/>
        <v>0</v>
      </c>
      <c r="J119" s="16">
        <f t="shared" si="37"/>
        <v>0</v>
      </c>
      <c r="K119" s="16">
        <f t="shared" si="37"/>
        <v>0</v>
      </c>
      <c r="L119" s="16">
        <f t="shared" si="37"/>
        <v>0</v>
      </c>
      <c r="M119" s="16">
        <f t="shared" si="37"/>
        <v>0</v>
      </c>
      <c r="N119" s="16">
        <f t="shared" si="37"/>
        <v>0</v>
      </c>
      <c r="O119" s="16">
        <f t="shared" si="37"/>
        <v>0</v>
      </c>
      <c r="P119" s="16">
        <f t="shared" si="37"/>
        <v>0</v>
      </c>
      <c r="Q119" s="16">
        <f t="shared" si="37"/>
        <v>0</v>
      </c>
      <c r="R119" s="16">
        <f t="shared" si="37"/>
        <v>0</v>
      </c>
    </row>
    <row r="120" spans="4:18" s="7" customFormat="1" ht="11.25" x14ac:dyDescent="0.2">
      <c r="D120" s="9" t="s">
        <v>112</v>
      </c>
      <c r="E120" s="19"/>
      <c r="F120" s="24">
        <f>SUM(F121:F122)</f>
        <v>0</v>
      </c>
      <c r="G120" s="16">
        <f t="shared" ref="G120:R120" si="38">SUM(G121:G122)</f>
        <v>0</v>
      </c>
      <c r="H120" s="16">
        <f t="shared" si="38"/>
        <v>0</v>
      </c>
      <c r="I120" s="16">
        <f t="shared" si="38"/>
        <v>0</v>
      </c>
      <c r="J120" s="16">
        <f t="shared" si="38"/>
        <v>0</v>
      </c>
      <c r="K120" s="16">
        <f t="shared" si="38"/>
        <v>0</v>
      </c>
      <c r="L120" s="16">
        <f t="shared" si="38"/>
        <v>0</v>
      </c>
      <c r="M120" s="16">
        <f t="shared" si="38"/>
        <v>0</v>
      </c>
      <c r="N120" s="16">
        <f t="shared" si="38"/>
        <v>0</v>
      </c>
      <c r="O120" s="16">
        <f t="shared" si="38"/>
        <v>0</v>
      </c>
      <c r="P120" s="16">
        <f t="shared" si="38"/>
        <v>0</v>
      </c>
      <c r="Q120" s="16">
        <f t="shared" si="38"/>
        <v>0</v>
      </c>
      <c r="R120" s="16">
        <f t="shared" si="38"/>
        <v>0</v>
      </c>
    </row>
    <row r="121" spans="4:18" s="7" customFormat="1" ht="11.25" x14ac:dyDescent="0.2">
      <c r="D121" s="10" t="s">
        <v>113</v>
      </c>
      <c r="E121" s="19"/>
      <c r="F121" s="25">
        <f>SUM(G121:R121)</f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</row>
    <row r="122" spans="4:18" s="7" customFormat="1" ht="11.25" x14ac:dyDescent="0.2">
      <c r="D122" s="10" t="s">
        <v>114</v>
      </c>
      <c r="E122" s="19"/>
      <c r="F122" s="25">
        <f>SUM(G122:R122)</f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</row>
    <row r="123" spans="4:18" s="7" customFormat="1" ht="11.25" x14ac:dyDescent="0.2">
      <c r="D123" s="9" t="s">
        <v>115</v>
      </c>
      <c r="E123" s="19"/>
      <c r="F123" s="24">
        <f>SUM(F124:F125)</f>
        <v>0</v>
      </c>
      <c r="G123" s="16">
        <f t="shared" ref="G123:R123" si="39">SUM(G124:G125)</f>
        <v>0</v>
      </c>
      <c r="H123" s="16">
        <f t="shared" si="39"/>
        <v>0</v>
      </c>
      <c r="I123" s="16">
        <f t="shared" si="39"/>
        <v>0</v>
      </c>
      <c r="J123" s="16">
        <f t="shared" si="39"/>
        <v>0</v>
      </c>
      <c r="K123" s="16">
        <f t="shared" si="39"/>
        <v>0</v>
      </c>
      <c r="L123" s="16">
        <f t="shared" si="39"/>
        <v>0</v>
      </c>
      <c r="M123" s="16">
        <f t="shared" si="39"/>
        <v>0</v>
      </c>
      <c r="N123" s="16">
        <f t="shared" si="39"/>
        <v>0</v>
      </c>
      <c r="O123" s="16">
        <f t="shared" si="39"/>
        <v>0</v>
      </c>
      <c r="P123" s="16">
        <f t="shared" si="39"/>
        <v>0</v>
      </c>
      <c r="Q123" s="16">
        <f t="shared" si="39"/>
        <v>0</v>
      </c>
      <c r="R123" s="16">
        <f t="shared" si="39"/>
        <v>0</v>
      </c>
    </row>
    <row r="124" spans="4:18" s="7" customFormat="1" ht="11.25" x14ac:dyDescent="0.2">
      <c r="D124" s="10" t="s">
        <v>113</v>
      </c>
      <c r="E124" s="19"/>
      <c r="F124" s="25">
        <f>SUM(G124:R124)</f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</row>
    <row r="125" spans="4:18" s="7" customFormat="1" ht="11.25" x14ac:dyDescent="0.2">
      <c r="D125" s="10" t="s">
        <v>114</v>
      </c>
      <c r="E125" s="19"/>
      <c r="F125" s="25">
        <f>SUM(G125:R125)</f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</row>
    <row r="126" spans="4:18" s="7" customFormat="1" ht="11.25" x14ac:dyDescent="0.2">
      <c r="D126" s="9" t="s">
        <v>116</v>
      </c>
      <c r="E126" s="19"/>
      <c r="F126" s="24">
        <f>SUM(G126:R126)</f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4:18" s="7" customFormat="1" ht="22.5" x14ac:dyDescent="0.2">
      <c r="D127" s="9" t="s">
        <v>117</v>
      </c>
      <c r="E127" s="19"/>
      <c r="F127" s="24">
        <f>SUM(G127:R127)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</row>
    <row r="128" spans="4:18" s="7" customFormat="1" ht="11.25" x14ac:dyDescent="0.2">
      <c r="D128" s="9" t="s">
        <v>118</v>
      </c>
      <c r="E128" s="19"/>
      <c r="F128" s="24">
        <f>SUM(F129:F131)</f>
        <v>0</v>
      </c>
      <c r="G128" s="16">
        <f t="shared" ref="G128:R128" si="40">SUM(G129:G131)</f>
        <v>0</v>
      </c>
      <c r="H128" s="16">
        <f t="shared" si="40"/>
        <v>0</v>
      </c>
      <c r="I128" s="16">
        <f t="shared" si="40"/>
        <v>0</v>
      </c>
      <c r="J128" s="16">
        <f t="shared" si="40"/>
        <v>0</v>
      </c>
      <c r="K128" s="16">
        <f t="shared" si="40"/>
        <v>0</v>
      </c>
      <c r="L128" s="16">
        <f t="shared" si="40"/>
        <v>0</v>
      </c>
      <c r="M128" s="16">
        <f t="shared" si="40"/>
        <v>0</v>
      </c>
      <c r="N128" s="16">
        <f t="shared" si="40"/>
        <v>0</v>
      </c>
      <c r="O128" s="16">
        <f t="shared" si="40"/>
        <v>0</v>
      </c>
      <c r="P128" s="16">
        <f t="shared" si="40"/>
        <v>0</v>
      </c>
      <c r="Q128" s="16">
        <f t="shared" si="40"/>
        <v>0</v>
      </c>
      <c r="R128" s="16">
        <f t="shared" si="40"/>
        <v>0</v>
      </c>
    </row>
    <row r="129" spans="4:18" s="7" customFormat="1" ht="11.25" x14ac:dyDescent="0.2">
      <c r="D129" s="9" t="s">
        <v>119</v>
      </c>
      <c r="E129" s="19"/>
      <c r="F129" s="24">
        <f>SUM(G129:Q129)</f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</row>
    <row r="130" spans="4:18" s="7" customFormat="1" ht="11.25" x14ac:dyDescent="0.2">
      <c r="D130" s="9" t="s">
        <v>120</v>
      </c>
      <c r="E130" s="19"/>
      <c r="F130" s="24">
        <f>SUM(G130:Q130)</f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</row>
    <row r="131" spans="4:18" s="7" customFormat="1" ht="11.25" x14ac:dyDescent="0.2">
      <c r="D131" s="9" t="s">
        <v>121</v>
      </c>
      <c r="E131" s="19"/>
      <c r="F131" s="24">
        <f>F132</f>
        <v>0</v>
      </c>
      <c r="G131" s="16">
        <f t="shared" ref="G131:R131" si="41">G132</f>
        <v>0</v>
      </c>
      <c r="H131" s="16">
        <f t="shared" si="41"/>
        <v>0</v>
      </c>
      <c r="I131" s="16">
        <f t="shared" si="41"/>
        <v>0</v>
      </c>
      <c r="J131" s="16">
        <f t="shared" si="41"/>
        <v>0</v>
      </c>
      <c r="K131" s="16">
        <f t="shared" si="41"/>
        <v>0</v>
      </c>
      <c r="L131" s="16">
        <f t="shared" si="41"/>
        <v>0</v>
      </c>
      <c r="M131" s="16">
        <f t="shared" si="41"/>
        <v>0</v>
      </c>
      <c r="N131" s="16">
        <f t="shared" si="41"/>
        <v>0</v>
      </c>
      <c r="O131" s="16">
        <f t="shared" si="41"/>
        <v>0</v>
      </c>
      <c r="P131" s="16">
        <f t="shared" si="41"/>
        <v>0</v>
      </c>
      <c r="Q131" s="16">
        <f t="shared" si="41"/>
        <v>0</v>
      </c>
      <c r="R131" s="16">
        <f t="shared" si="41"/>
        <v>0</v>
      </c>
    </row>
    <row r="132" spans="4:18" s="7" customFormat="1" ht="11.25" x14ac:dyDescent="0.2">
      <c r="D132" s="10" t="s">
        <v>122</v>
      </c>
      <c r="E132" s="19"/>
      <c r="F132" s="25">
        <f>SUM(G132:R132)</f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</row>
  </sheetData>
  <mergeCells count="3">
    <mergeCell ref="D2:R2"/>
    <mergeCell ref="D4:R4"/>
    <mergeCell ref="B6:E6"/>
  </mergeCells>
  <printOptions horizontalCentered="1"/>
  <pageMargins left="0.39370078740157483" right="0.39370078740157483" top="0.39370078740157483" bottom="0.39370078740157483" header="0.31496062992125984" footer="0.31496062992125984"/>
  <pageSetup scale="32" orientation="landscape" r:id="rId1"/>
  <rowBreaks count="1" manualBreakCount="1">
    <brk id="69" max="16383" man="1"/>
  </rowBreaks>
  <ignoredErrors>
    <ignoredError sqref="F1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operez</dc:creator>
  <cp:lastModifiedBy>Maria Magdalena Moguel Tort</cp:lastModifiedBy>
  <cp:lastPrinted>2024-04-23T21:13:53Z</cp:lastPrinted>
  <dcterms:created xsi:type="dcterms:W3CDTF">2020-08-10T18:11:40Z</dcterms:created>
  <dcterms:modified xsi:type="dcterms:W3CDTF">2024-04-23T21:14:04Z</dcterms:modified>
</cp:coreProperties>
</file>