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gda_8x5ex77\Dropbox\ADMON CARLOS MORALES 2021-2024\E) FINANZAS PÚBLICAS\2024 (ENE-XXX)\"/>
    </mc:Choice>
  </mc:AlternateContent>
  <bookViews>
    <workbookView xWindow="0" yWindow="0" windowWidth="20490" windowHeight="7530"/>
  </bookViews>
  <sheets>
    <sheet name="Ingresos x 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97" i="1" l="1"/>
  <c r="AB197" i="1"/>
  <c r="W197" i="1"/>
  <c r="AL197" i="1" s="1"/>
  <c r="C197" i="1"/>
  <c r="G197" i="1" s="1"/>
  <c r="K197" i="1" s="1"/>
  <c r="AK197" i="1" s="1"/>
  <c r="AQ197" i="1" s="1"/>
  <c r="AF196" i="1"/>
  <c r="AB196" i="1"/>
  <c r="W196" i="1"/>
  <c r="AL196" i="1" s="1"/>
  <c r="G196" i="1"/>
  <c r="K196" i="1" s="1"/>
  <c r="AK196" i="1" s="1"/>
  <c r="AQ196" i="1" s="1"/>
  <c r="AF195" i="1"/>
  <c r="AB195" i="1"/>
  <c r="V195" i="1"/>
  <c r="W195" i="1" s="1"/>
  <c r="G195" i="1"/>
  <c r="K195" i="1" s="1"/>
  <c r="AK195" i="1" s="1"/>
  <c r="AF194" i="1"/>
  <c r="AB194" i="1"/>
  <c r="V194" i="1"/>
  <c r="N194" i="1"/>
  <c r="W194" i="1" s="1"/>
  <c r="AL194" i="1" s="1"/>
  <c r="G194" i="1"/>
  <c r="K194" i="1" s="1"/>
  <c r="AK194" i="1" s="1"/>
  <c r="AH193" i="1"/>
  <c r="AF193" i="1"/>
  <c r="AB193" i="1"/>
  <c r="W193" i="1"/>
  <c r="AL193" i="1" s="1"/>
  <c r="J193" i="1"/>
  <c r="F193" i="1"/>
  <c r="G193" i="1" s="1"/>
  <c r="K193" i="1" s="1"/>
  <c r="AK193" i="1" s="1"/>
  <c r="AH192" i="1"/>
  <c r="AF192" i="1"/>
  <c r="AB192" i="1"/>
  <c r="V192" i="1"/>
  <c r="W192" i="1" s="1"/>
  <c r="AL192" i="1" s="1"/>
  <c r="J192" i="1"/>
  <c r="F192" i="1"/>
  <c r="G192" i="1" s="1"/>
  <c r="K192" i="1" s="1"/>
  <c r="AK192" i="1" s="1"/>
  <c r="AQ192" i="1" s="1"/>
  <c r="AH191" i="1"/>
  <c r="AF191" i="1"/>
  <c r="AB191" i="1"/>
  <c r="V191" i="1"/>
  <c r="W191" i="1" s="1"/>
  <c r="AL191" i="1" s="1"/>
  <c r="F191" i="1"/>
  <c r="G191" i="1" s="1"/>
  <c r="K191" i="1" s="1"/>
  <c r="AK191" i="1" s="1"/>
  <c r="AH190" i="1"/>
  <c r="AF190" i="1"/>
  <c r="AB190" i="1"/>
  <c r="V190" i="1"/>
  <c r="W190" i="1" s="1"/>
  <c r="AL190" i="1" s="1"/>
  <c r="N190" i="1"/>
  <c r="F190" i="1"/>
  <c r="G190" i="1" s="1"/>
  <c r="K190" i="1" s="1"/>
  <c r="AK190" i="1" s="1"/>
  <c r="AQ190" i="1" s="1"/>
  <c r="AH189" i="1"/>
  <c r="AF189" i="1"/>
  <c r="AB189" i="1"/>
  <c r="W189" i="1"/>
  <c r="AL189" i="1" s="1"/>
  <c r="J189" i="1"/>
  <c r="F189" i="1"/>
  <c r="G189" i="1" s="1"/>
  <c r="K189" i="1" s="1"/>
  <c r="AK189" i="1" s="1"/>
  <c r="AH188" i="1"/>
  <c r="AF188" i="1"/>
  <c r="AB188" i="1"/>
  <c r="W188" i="1"/>
  <c r="AL188" i="1" s="1"/>
  <c r="J188" i="1"/>
  <c r="F188" i="1"/>
  <c r="C188" i="1"/>
  <c r="AF187" i="1"/>
  <c r="AB187" i="1"/>
  <c r="W187" i="1"/>
  <c r="J187" i="1"/>
  <c r="C187" i="1"/>
  <c r="G187" i="1" s="1"/>
  <c r="K187" i="1" s="1"/>
  <c r="AK187" i="1" s="1"/>
  <c r="AF186" i="1"/>
  <c r="AB186" i="1"/>
  <c r="W186" i="1"/>
  <c r="AL186" i="1" s="1"/>
  <c r="J186" i="1"/>
  <c r="F186" i="1"/>
  <c r="G186" i="1" s="1"/>
  <c r="AF185" i="1"/>
  <c r="AB185" i="1"/>
  <c r="W185" i="1"/>
  <c r="AL185" i="1" s="1"/>
  <c r="F185" i="1"/>
  <c r="G185" i="1" s="1"/>
  <c r="K185" i="1" s="1"/>
  <c r="AK185" i="1" s="1"/>
  <c r="AF184" i="1"/>
  <c r="AB184" i="1"/>
  <c r="W184" i="1"/>
  <c r="G184" i="1"/>
  <c r="K184" i="1" s="1"/>
  <c r="AK184" i="1" s="1"/>
  <c r="AF183" i="1"/>
  <c r="AB183" i="1"/>
  <c r="W183" i="1"/>
  <c r="AL183" i="1" s="1"/>
  <c r="G183" i="1"/>
  <c r="K183" i="1" s="1"/>
  <c r="AK183" i="1" s="1"/>
  <c r="AF182" i="1"/>
  <c r="AB182" i="1"/>
  <c r="W182" i="1"/>
  <c r="AL182" i="1" s="1"/>
  <c r="F182" i="1"/>
  <c r="G182" i="1" s="1"/>
  <c r="K182" i="1" s="1"/>
  <c r="AK182" i="1" s="1"/>
  <c r="AF181" i="1"/>
  <c r="AB181" i="1"/>
  <c r="W181" i="1"/>
  <c r="AL181" i="1" s="1"/>
  <c r="F181" i="1"/>
  <c r="G181" i="1" s="1"/>
  <c r="K181" i="1" s="1"/>
  <c r="AK181" i="1" s="1"/>
  <c r="AF180" i="1"/>
  <c r="AB180" i="1"/>
  <c r="W180" i="1"/>
  <c r="AL180" i="1" s="1"/>
  <c r="J180" i="1"/>
  <c r="F180" i="1"/>
  <c r="G180" i="1" s="1"/>
  <c r="K180" i="1" s="1"/>
  <c r="AK180" i="1" s="1"/>
  <c r="AQ180" i="1" s="1"/>
  <c r="AF179" i="1"/>
  <c r="AB179" i="1"/>
  <c r="W179" i="1"/>
  <c r="AL179" i="1" s="1"/>
  <c r="F179" i="1"/>
  <c r="G179" i="1" s="1"/>
  <c r="K179" i="1" s="1"/>
  <c r="AK179" i="1" s="1"/>
  <c r="AQ179" i="1" s="1"/>
  <c r="AF178" i="1"/>
  <c r="AB178" i="1"/>
  <c r="W178" i="1"/>
  <c r="AL178" i="1" s="1"/>
  <c r="F178" i="1"/>
  <c r="G178" i="1" s="1"/>
  <c r="K178" i="1" s="1"/>
  <c r="AK178" i="1" s="1"/>
  <c r="AL177" i="1"/>
  <c r="AF177" i="1"/>
  <c r="AB177" i="1"/>
  <c r="W177" i="1"/>
  <c r="J177" i="1"/>
  <c r="F177" i="1"/>
  <c r="G177" i="1" s="1"/>
  <c r="K177" i="1" s="1"/>
  <c r="AK177" i="1" s="1"/>
  <c r="AF176" i="1"/>
  <c r="AB176" i="1"/>
  <c r="W176" i="1"/>
  <c r="AL176" i="1" s="1"/>
  <c r="J176" i="1"/>
  <c r="G176" i="1"/>
  <c r="K176" i="1" s="1"/>
  <c r="AK176" i="1" s="1"/>
  <c r="F176" i="1"/>
  <c r="AF175" i="1"/>
  <c r="Z175" i="1"/>
  <c r="AB175" i="1" s="1"/>
  <c r="W175" i="1"/>
  <c r="J175" i="1"/>
  <c r="F175" i="1"/>
  <c r="G175" i="1" s="1"/>
  <c r="K175" i="1" s="1"/>
  <c r="AK175" i="1" s="1"/>
  <c r="AL174" i="1"/>
  <c r="AF174" i="1"/>
  <c r="AB174" i="1"/>
  <c r="W174" i="1"/>
  <c r="J174" i="1"/>
  <c r="F174" i="1"/>
  <c r="G174" i="1" s="1"/>
  <c r="K174" i="1" s="1"/>
  <c r="AK174" i="1" s="1"/>
  <c r="AF173" i="1"/>
  <c r="AB173" i="1"/>
  <c r="W173" i="1"/>
  <c r="AL173" i="1" s="1"/>
  <c r="F173" i="1"/>
  <c r="G173" i="1" s="1"/>
  <c r="K173" i="1" s="1"/>
  <c r="AK173" i="1" s="1"/>
  <c r="AF172" i="1"/>
  <c r="AB172" i="1"/>
  <c r="W172" i="1"/>
  <c r="AL172" i="1" s="1"/>
  <c r="F172" i="1"/>
  <c r="G172" i="1" s="1"/>
  <c r="K172" i="1" s="1"/>
  <c r="AK172" i="1" s="1"/>
  <c r="AQ172" i="1" s="1"/>
  <c r="AF171" i="1"/>
  <c r="AB171" i="1"/>
  <c r="W171" i="1"/>
  <c r="G171" i="1"/>
  <c r="K171" i="1" s="1"/>
  <c r="AK171" i="1" s="1"/>
  <c r="F171" i="1"/>
  <c r="AF170" i="1"/>
  <c r="AB170" i="1"/>
  <c r="W170" i="1"/>
  <c r="AL170" i="1" s="1"/>
  <c r="F170" i="1"/>
  <c r="G170" i="1" s="1"/>
  <c r="K170" i="1" s="1"/>
  <c r="AK170" i="1" s="1"/>
  <c r="AF169" i="1"/>
  <c r="AB169" i="1"/>
  <c r="W169" i="1"/>
  <c r="AL169" i="1" s="1"/>
  <c r="F169" i="1"/>
  <c r="G169" i="1" s="1"/>
  <c r="K169" i="1" s="1"/>
  <c r="AK169" i="1" s="1"/>
  <c r="AF168" i="1"/>
  <c r="AB168" i="1"/>
  <c r="W168" i="1"/>
  <c r="AL168" i="1" s="1"/>
  <c r="F168" i="1"/>
  <c r="G168" i="1" s="1"/>
  <c r="K168" i="1" s="1"/>
  <c r="AK168" i="1" s="1"/>
  <c r="AF167" i="1"/>
  <c r="AB167" i="1"/>
  <c r="W167" i="1"/>
  <c r="AL167" i="1" s="1"/>
  <c r="G167" i="1"/>
  <c r="K167" i="1" s="1"/>
  <c r="AK167" i="1" s="1"/>
  <c r="AQ167" i="1" s="1"/>
  <c r="AF166" i="1"/>
  <c r="AB166" i="1"/>
  <c r="W166" i="1"/>
  <c r="AL166" i="1" s="1"/>
  <c r="F166" i="1"/>
  <c r="G166" i="1" s="1"/>
  <c r="K166" i="1" s="1"/>
  <c r="AK166" i="1" s="1"/>
  <c r="AQ166" i="1" s="1"/>
  <c r="AF165" i="1"/>
  <c r="AB165" i="1"/>
  <c r="W165" i="1"/>
  <c r="AL165" i="1" s="1"/>
  <c r="F165" i="1"/>
  <c r="C165" i="1"/>
  <c r="G165" i="1" s="1"/>
  <c r="K165" i="1" s="1"/>
  <c r="AK165" i="1" s="1"/>
  <c r="AE164" i="1"/>
  <c r="AF164" i="1" s="1"/>
  <c r="AB164" i="1"/>
  <c r="W164" i="1"/>
  <c r="F164" i="1"/>
  <c r="G164" i="1" s="1"/>
  <c r="K164" i="1" s="1"/>
  <c r="AK164" i="1" s="1"/>
  <c r="AF163" i="1"/>
  <c r="AB163" i="1"/>
  <c r="W163" i="1"/>
  <c r="AL163" i="1" s="1"/>
  <c r="F163" i="1"/>
  <c r="G163" i="1" s="1"/>
  <c r="K163" i="1" s="1"/>
  <c r="AK163" i="1" s="1"/>
  <c r="AF162" i="1"/>
  <c r="AB162" i="1"/>
  <c r="W162" i="1"/>
  <c r="AL162" i="1" s="1"/>
  <c r="F162" i="1"/>
  <c r="G162" i="1" s="1"/>
  <c r="K162" i="1" s="1"/>
  <c r="AK162" i="1" s="1"/>
  <c r="AF161" i="1"/>
  <c r="AB161" i="1"/>
  <c r="W161" i="1"/>
  <c r="AL161" i="1" s="1"/>
  <c r="F161" i="1"/>
  <c r="G161" i="1" s="1"/>
  <c r="K161" i="1" s="1"/>
  <c r="AK161" i="1" s="1"/>
  <c r="AF160" i="1"/>
  <c r="AB160" i="1"/>
  <c r="W160" i="1"/>
  <c r="J160" i="1"/>
  <c r="F160" i="1"/>
  <c r="G160" i="1" s="1"/>
  <c r="AF159" i="1"/>
  <c r="AB159" i="1"/>
  <c r="W159" i="1"/>
  <c r="AL159" i="1" s="1"/>
  <c r="G159" i="1"/>
  <c r="K159" i="1" s="1"/>
  <c r="AK159" i="1" s="1"/>
  <c r="AQ159" i="1" s="1"/>
  <c r="AF158" i="1"/>
  <c r="AB158" i="1"/>
  <c r="W158" i="1"/>
  <c r="AL158" i="1" s="1"/>
  <c r="G158" i="1"/>
  <c r="K158" i="1" s="1"/>
  <c r="AK158" i="1" s="1"/>
  <c r="AF157" i="1"/>
  <c r="AB157" i="1"/>
  <c r="W157" i="1"/>
  <c r="AL157" i="1" s="1"/>
  <c r="G157" i="1"/>
  <c r="K157" i="1" s="1"/>
  <c r="AK157" i="1" s="1"/>
  <c r="AF156" i="1"/>
  <c r="AB156" i="1"/>
  <c r="W156" i="1"/>
  <c r="AL156" i="1" s="1"/>
  <c r="G156" i="1"/>
  <c r="K156" i="1" s="1"/>
  <c r="AK156" i="1" s="1"/>
  <c r="AQ156" i="1" s="1"/>
  <c r="AF155" i="1"/>
  <c r="AB155" i="1"/>
  <c r="AL155" i="1" s="1"/>
  <c r="W155" i="1"/>
  <c r="G155" i="1"/>
  <c r="K155" i="1" s="1"/>
  <c r="AK155" i="1" s="1"/>
  <c r="AF154" i="1"/>
  <c r="AB154" i="1"/>
  <c r="W154" i="1"/>
  <c r="AL154" i="1" s="1"/>
  <c r="K154" i="1"/>
  <c r="AK154" i="1" s="1"/>
  <c r="AQ154" i="1" s="1"/>
  <c r="G154" i="1"/>
  <c r="AF153" i="1"/>
  <c r="AB153" i="1"/>
  <c r="W153" i="1"/>
  <c r="AL153" i="1" s="1"/>
  <c r="G153" i="1"/>
  <c r="K153" i="1" s="1"/>
  <c r="AK153" i="1" s="1"/>
  <c r="AE152" i="1"/>
  <c r="AF152" i="1" s="1"/>
  <c r="AB152" i="1"/>
  <c r="W152" i="1"/>
  <c r="AL152" i="1" s="1"/>
  <c r="G152" i="1"/>
  <c r="K152" i="1" s="1"/>
  <c r="AK152" i="1" s="1"/>
  <c r="AD151" i="1"/>
  <c r="AC151" i="1"/>
  <c r="AB151" i="1"/>
  <c r="W151" i="1"/>
  <c r="AL151" i="1" s="1"/>
  <c r="G151" i="1"/>
  <c r="K151" i="1" s="1"/>
  <c r="AK151" i="1" s="1"/>
  <c r="AQ151" i="1" s="1"/>
  <c r="AD150" i="1"/>
  <c r="AC150" i="1"/>
  <c r="AF150" i="1" s="1"/>
  <c r="AB150" i="1"/>
  <c r="W150" i="1"/>
  <c r="AL150" i="1" s="1"/>
  <c r="G150" i="1"/>
  <c r="K150" i="1" s="1"/>
  <c r="AK150" i="1" s="1"/>
  <c r="AD149" i="1"/>
  <c r="AC149" i="1"/>
  <c r="AF149" i="1" s="1"/>
  <c r="AB149" i="1"/>
  <c r="W149" i="1"/>
  <c r="AL149" i="1" s="1"/>
  <c r="G149" i="1"/>
  <c r="K149" i="1" s="1"/>
  <c r="AK149" i="1" s="1"/>
  <c r="AQ149" i="1" s="1"/>
  <c r="AF148" i="1"/>
  <c r="AB148" i="1"/>
  <c r="W148" i="1"/>
  <c r="AL148" i="1" s="1"/>
  <c r="G148" i="1"/>
  <c r="K148" i="1" s="1"/>
  <c r="AK148" i="1" s="1"/>
  <c r="AQ148" i="1" s="1"/>
  <c r="AF147" i="1"/>
  <c r="AB147" i="1"/>
  <c r="W147" i="1"/>
  <c r="K147" i="1"/>
  <c r="AK147" i="1" s="1"/>
  <c r="G147" i="1"/>
  <c r="AF146" i="1"/>
  <c r="AB146" i="1"/>
  <c r="W146" i="1"/>
  <c r="AL146" i="1" s="1"/>
  <c r="G146" i="1"/>
  <c r="K146" i="1" s="1"/>
  <c r="AK146" i="1" s="1"/>
  <c r="AF145" i="1"/>
  <c r="AB145" i="1"/>
  <c r="W145" i="1"/>
  <c r="AL145" i="1" s="1"/>
  <c r="G145" i="1"/>
  <c r="K145" i="1" s="1"/>
  <c r="AK145" i="1" s="1"/>
  <c r="AF144" i="1"/>
  <c r="AB144" i="1"/>
  <c r="W144" i="1"/>
  <c r="AL144" i="1" s="1"/>
  <c r="G144" i="1"/>
  <c r="K144" i="1" s="1"/>
  <c r="AK144" i="1" s="1"/>
  <c r="AQ144" i="1" s="1"/>
  <c r="AF143" i="1"/>
  <c r="AB143" i="1"/>
  <c r="W143" i="1"/>
  <c r="AL143" i="1" s="1"/>
  <c r="G143" i="1"/>
  <c r="K143" i="1" s="1"/>
  <c r="AK143" i="1" s="1"/>
  <c r="AF142" i="1"/>
  <c r="AB142" i="1"/>
  <c r="W142" i="1"/>
  <c r="G142" i="1"/>
  <c r="K142" i="1" s="1"/>
  <c r="AK142" i="1" s="1"/>
  <c r="AF141" i="1"/>
  <c r="AB141" i="1"/>
  <c r="W141" i="1"/>
  <c r="G141" i="1"/>
  <c r="K141" i="1" s="1"/>
  <c r="AK141" i="1" s="1"/>
  <c r="AF140" i="1"/>
  <c r="AB140" i="1"/>
  <c r="W140" i="1"/>
  <c r="AL140" i="1" s="1"/>
  <c r="G140" i="1"/>
  <c r="K140" i="1" s="1"/>
  <c r="AK140" i="1" s="1"/>
  <c r="AF139" i="1"/>
  <c r="AB139" i="1"/>
  <c r="W139" i="1"/>
  <c r="G139" i="1"/>
  <c r="K139" i="1" s="1"/>
  <c r="AK139" i="1" s="1"/>
  <c r="AF138" i="1"/>
  <c r="AB138" i="1"/>
  <c r="W138" i="1"/>
  <c r="AL138" i="1" s="1"/>
  <c r="G138" i="1"/>
  <c r="K138" i="1" s="1"/>
  <c r="AK138" i="1" s="1"/>
  <c r="AF137" i="1"/>
  <c r="AB137" i="1"/>
  <c r="W137" i="1"/>
  <c r="AL137" i="1" s="1"/>
  <c r="G137" i="1"/>
  <c r="K137" i="1" s="1"/>
  <c r="AK137" i="1" s="1"/>
  <c r="AI136" i="1"/>
  <c r="AF136" i="1"/>
  <c r="AB136" i="1"/>
  <c r="AL136" i="1" s="1"/>
  <c r="W136" i="1"/>
  <c r="G136" i="1"/>
  <c r="K136" i="1" s="1"/>
  <c r="AK136" i="1" s="1"/>
  <c r="AQ136" i="1" s="1"/>
  <c r="AF135" i="1"/>
  <c r="AB135" i="1"/>
  <c r="W135" i="1"/>
  <c r="AL135" i="1" s="1"/>
  <c r="G135" i="1"/>
  <c r="K135" i="1" s="1"/>
  <c r="AK135" i="1" s="1"/>
  <c r="AQ135" i="1" s="1"/>
  <c r="AF134" i="1"/>
  <c r="AB134" i="1"/>
  <c r="W134" i="1"/>
  <c r="AL134" i="1" s="1"/>
  <c r="G134" i="1"/>
  <c r="K134" i="1" s="1"/>
  <c r="AK134" i="1" s="1"/>
  <c r="AQ134" i="1" s="1"/>
  <c r="AF133" i="1"/>
  <c r="AB133" i="1"/>
  <c r="W133" i="1"/>
  <c r="G133" i="1"/>
  <c r="K133" i="1" s="1"/>
  <c r="AK133" i="1" s="1"/>
  <c r="AF132" i="1"/>
  <c r="AB132" i="1"/>
  <c r="W132" i="1"/>
  <c r="AL132" i="1" s="1"/>
  <c r="G132" i="1"/>
  <c r="K132" i="1" s="1"/>
  <c r="AK132" i="1" s="1"/>
  <c r="AF131" i="1"/>
  <c r="AB131" i="1"/>
  <c r="W131" i="1"/>
  <c r="AL131" i="1" s="1"/>
  <c r="G131" i="1"/>
  <c r="K131" i="1" s="1"/>
  <c r="AK131" i="1" s="1"/>
  <c r="AF130" i="1"/>
  <c r="AB130" i="1"/>
  <c r="W130" i="1"/>
  <c r="G130" i="1"/>
  <c r="K130" i="1" s="1"/>
  <c r="AK130" i="1" s="1"/>
  <c r="AF129" i="1"/>
  <c r="AB129" i="1"/>
  <c r="W129" i="1"/>
  <c r="AL129" i="1" s="1"/>
  <c r="G129" i="1"/>
  <c r="K129" i="1" s="1"/>
  <c r="AK129" i="1" s="1"/>
  <c r="AF128" i="1"/>
  <c r="AB128" i="1"/>
  <c r="W128" i="1"/>
  <c r="AL128" i="1" s="1"/>
  <c r="G128" i="1"/>
  <c r="K128" i="1" s="1"/>
  <c r="AK128" i="1" s="1"/>
  <c r="AF127" i="1"/>
  <c r="AB127" i="1"/>
  <c r="W127" i="1"/>
  <c r="AL127" i="1" s="1"/>
  <c r="G127" i="1"/>
  <c r="K127" i="1" s="1"/>
  <c r="AK127" i="1" s="1"/>
  <c r="AQ127" i="1" s="1"/>
  <c r="AF126" i="1"/>
  <c r="AB126" i="1"/>
  <c r="W126" i="1"/>
  <c r="AL126" i="1" s="1"/>
  <c r="G126" i="1"/>
  <c r="K126" i="1" s="1"/>
  <c r="AK126" i="1" s="1"/>
  <c r="AF125" i="1"/>
  <c r="AB125" i="1"/>
  <c r="W125" i="1"/>
  <c r="AL125" i="1" s="1"/>
  <c r="G125" i="1"/>
  <c r="K125" i="1" s="1"/>
  <c r="AK125" i="1" s="1"/>
  <c r="AQ125" i="1" s="1"/>
  <c r="AE124" i="1"/>
  <c r="AF124" i="1" s="1"/>
  <c r="AB124" i="1"/>
  <c r="W124" i="1"/>
  <c r="G124" i="1"/>
  <c r="K124" i="1" s="1"/>
  <c r="AK124" i="1" s="1"/>
  <c r="AF123" i="1"/>
  <c r="AB123" i="1"/>
  <c r="W123" i="1"/>
  <c r="G123" i="1"/>
  <c r="K123" i="1" s="1"/>
  <c r="AK123" i="1" s="1"/>
  <c r="AF122" i="1"/>
  <c r="AB122" i="1"/>
  <c r="W122" i="1"/>
  <c r="AL122" i="1" s="1"/>
  <c r="G122" i="1"/>
  <c r="K122" i="1" s="1"/>
  <c r="AK122" i="1" s="1"/>
  <c r="AF121" i="1"/>
  <c r="AB121" i="1"/>
  <c r="W121" i="1"/>
  <c r="G121" i="1"/>
  <c r="K121" i="1" s="1"/>
  <c r="AK121" i="1" s="1"/>
  <c r="AF120" i="1"/>
  <c r="AB120" i="1"/>
  <c r="W120" i="1"/>
  <c r="AL120" i="1" s="1"/>
  <c r="G120" i="1"/>
  <c r="K120" i="1" s="1"/>
  <c r="AK120" i="1" s="1"/>
  <c r="AF119" i="1"/>
  <c r="AB119" i="1"/>
  <c r="W119" i="1"/>
  <c r="AL119" i="1" s="1"/>
  <c r="G119" i="1"/>
  <c r="K119" i="1" s="1"/>
  <c r="AK119" i="1" s="1"/>
  <c r="AI118" i="1"/>
  <c r="AF118" i="1"/>
  <c r="AB118" i="1"/>
  <c r="W118" i="1"/>
  <c r="G118" i="1"/>
  <c r="K118" i="1" s="1"/>
  <c r="AK118" i="1" s="1"/>
  <c r="AF117" i="1"/>
  <c r="AB117" i="1"/>
  <c r="W117" i="1"/>
  <c r="G117" i="1"/>
  <c r="K117" i="1" s="1"/>
  <c r="AK117" i="1" s="1"/>
  <c r="AF116" i="1"/>
  <c r="AB116" i="1"/>
  <c r="W116" i="1"/>
  <c r="AL116" i="1" s="1"/>
  <c r="G116" i="1"/>
  <c r="K116" i="1" s="1"/>
  <c r="AK116" i="1" s="1"/>
  <c r="AQ116" i="1" s="1"/>
  <c r="AF115" i="1"/>
  <c r="AB115" i="1"/>
  <c r="W115" i="1"/>
  <c r="G115" i="1"/>
  <c r="K115" i="1" s="1"/>
  <c r="AK115" i="1" s="1"/>
  <c r="AF114" i="1"/>
  <c r="AB114" i="1"/>
  <c r="W114" i="1"/>
  <c r="G114" i="1"/>
  <c r="K114" i="1" s="1"/>
  <c r="AK114" i="1" s="1"/>
  <c r="AL113" i="1"/>
  <c r="AF113" i="1"/>
  <c r="AB113" i="1"/>
  <c r="W113" i="1"/>
  <c r="G113" i="1"/>
  <c r="K113" i="1" s="1"/>
  <c r="AK113" i="1" s="1"/>
  <c r="AE112" i="1"/>
  <c r="AF112" i="1" s="1"/>
  <c r="AB112" i="1"/>
  <c r="W112" i="1"/>
  <c r="AL112" i="1" s="1"/>
  <c r="G112" i="1"/>
  <c r="K112" i="1" s="1"/>
  <c r="AK112" i="1" s="1"/>
  <c r="AQ112" i="1" s="1"/>
  <c r="AF111" i="1"/>
  <c r="AB111" i="1"/>
  <c r="W111" i="1"/>
  <c r="AL111" i="1" s="1"/>
  <c r="G111" i="1"/>
  <c r="K111" i="1" s="1"/>
  <c r="AK111" i="1" s="1"/>
  <c r="AQ111" i="1" s="1"/>
  <c r="AF110" i="1"/>
  <c r="AB110" i="1"/>
  <c r="AL110" i="1" s="1"/>
  <c r="W110" i="1"/>
  <c r="G110" i="1"/>
  <c r="K110" i="1" s="1"/>
  <c r="AK110" i="1" s="1"/>
  <c r="AI109" i="1"/>
  <c r="AF109" i="1"/>
  <c r="AB109" i="1"/>
  <c r="W109" i="1"/>
  <c r="AL109" i="1" s="1"/>
  <c r="G109" i="1"/>
  <c r="K109" i="1" s="1"/>
  <c r="AK109" i="1" s="1"/>
  <c r="AF108" i="1"/>
  <c r="AB108" i="1"/>
  <c r="W108" i="1"/>
  <c r="AL108" i="1" s="1"/>
  <c r="G108" i="1"/>
  <c r="K108" i="1" s="1"/>
  <c r="AK108" i="1" s="1"/>
  <c r="AQ108" i="1" s="1"/>
  <c r="AF107" i="1"/>
  <c r="AB107" i="1"/>
  <c r="W107" i="1"/>
  <c r="AL107" i="1" s="1"/>
  <c r="G107" i="1"/>
  <c r="K107" i="1" s="1"/>
  <c r="AK107" i="1" s="1"/>
  <c r="AF106" i="1"/>
  <c r="AB106" i="1"/>
  <c r="AL106" i="1" s="1"/>
  <c r="W106" i="1"/>
  <c r="G106" i="1"/>
  <c r="K106" i="1" s="1"/>
  <c r="AK106" i="1" s="1"/>
  <c r="AQ106" i="1" s="1"/>
  <c r="AF105" i="1"/>
  <c r="AB105" i="1"/>
  <c r="W105" i="1"/>
  <c r="AL105" i="1" s="1"/>
  <c r="G105" i="1"/>
  <c r="K105" i="1" s="1"/>
  <c r="AK105" i="1" s="1"/>
  <c r="AF104" i="1"/>
  <c r="AB104" i="1"/>
  <c r="W104" i="1"/>
  <c r="AL104" i="1" s="1"/>
  <c r="G104" i="1"/>
  <c r="K104" i="1" s="1"/>
  <c r="AK104" i="1" s="1"/>
  <c r="AF103" i="1"/>
  <c r="AB103" i="1"/>
  <c r="W103" i="1"/>
  <c r="AL103" i="1" s="1"/>
  <c r="G103" i="1"/>
  <c r="K103" i="1" s="1"/>
  <c r="AK103" i="1" s="1"/>
  <c r="AQ103" i="1" s="1"/>
  <c r="AF102" i="1"/>
  <c r="AB102" i="1"/>
  <c r="W102" i="1"/>
  <c r="AL102" i="1" s="1"/>
  <c r="G102" i="1"/>
  <c r="K102" i="1" s="1"/>
  <c r="AK102" i="1" s="1"/>
  <c r="AQ102" i="1" s="1"/>
  <c r="AF101" i="1"/>
  <c r="AB101" i="1"/>
  <c r="W101" i="1"/>
  <c r="AL101" i="1" s="1"/>
  <c r="G101" i="1"/>
  <c r="K101" i="1" s="1"/>
  <c r="AK101" i="1" s="1"/>
  <c r="AF100" i="1"/>
  <c r="AB100" i="1"/>
  <c r="W100" i="1"/>
  <c r="G100" i="1"/>
  <c r="K100" i="1" s="1"/>
  <c r="AK100" i="1" s="1"/>
  <c r="AF99" i="1"/>
  <c r="AB99" i="1"/>
  <c r="W99" i="1"/>
  <c r="AL99" i="1" s="1"/>
  <c r="G99" i="1"/>
  <c r="K99" i="1" s="1"/>
  <c r="AK99" i="1" s="1"/>
  <c r="AQ99" i="1" s="1"/>
  <c r="AF98" i="1"/>
  <c r="AB98" i="1"/>
  <c r="W98" i="1"/>
  <c r="AL98" i="1" s="1"/>
  <c r="K98" i="1"/>
  <c r="AK98" i="1" s="1"/>
  <c r="AQ98" i="1" s="1"/>
  <c r="G98" i="1"/>
  <c r="AI97" i="1"/>
  <c r="AF97" i="1"/>
  <c r="AB97" i="1"/>
  <c r="W97" i="1"/>
  <c r="AL97" i="1" s="1"/>
  <c r="K97" i="1"/>
  <c r="AK97" i="1" s="1"/>
  <c r="G97" i="1"/>
  <c r="AI96" i="1"/>
  <c r="AF96" i="1"/>
  <c r="AB96" i="1"/>
  <c r="W96" i="1"/>
  <c r="AL96" i="1" s="1"/>
  <c r="G96" i="1"/>
  <c r="K96" i="1" s="1"/>
  <c r="AK96" i="1" s="1"/>
  <c r="AF95" i="1"/>
  <c r="AB95" i="1"/>
  <c r="W95" i="1"/>
  <c r="AL95" i="1" s="1"/>
  <c r="G95" i="1"/>
  <c r="K95" i="1" s="1"/>
  <c r="AK95" i="1" s="1"/>
  <c r="AF94" i="1"/>
  <c r="AB94" i="1"/>
  <c r="W94" i="1"/>
  <c r="AL94" i="1" s="1"/>
  <c r="G94" i="1"/>
  <c r="K94" i="1" s="1"/>
  <c r="AK94" i="1" s="1"/>
  <c r="AO94" i="1" s="1"/>
  <c r="AP94" i="1" s="1"/>
  <c r="AF93" i="1"/>
  <c r="AB93" i="1"/>
  <c r="W93" i="1"/>
  <c r="AL93" i="1" s="1"/>
  <c r="G93" i="1"/>
  <c r="K93" i="1" s="1"/>
  <c r="AK93" i="1" s="1"/>
  <c r="AQ93" i="1" s="1"/>
  <c r="AF92" i="1"/>
  <c r="AB92" i="1"/>
  <c r="W92" i="1"/>
  <c r="AL92" i="1" s="1"/>
  <c r="G92" i="1"/>
  <c r="K92" i="1" s="1"/>
  <c r="AK92" i="1" s="1"/>
  <c r="AF91" i="1"/>
  <c r="AB91" i="1"/>
  <c r="W91" i="1"/>
  <c r="AL91" i="1" s="1"/>
  <c r="G91" i="1"/>
  <c r="K91" i="1" s="1"/>
  <c r="AK91" i="1" s="1"/>
  <c r="AQ91" i="1" s="1"/>
  <c r="AF90" i="1"/>
  <c r="AB90" i="1"/>
  <c r="W90" i="1"/>
  <c r="AL90" i="1" s="1"/>
  <c r="G90" i="1"/>
  <c r="K90" i="1" s="1"/>
  <c r="AK90" i="1" s="1"/>
  <c r="AQ90" i="1" s="1"/>
  <c r="AF89" i="1"/>
  <c r="AB89" i="1"/>
  <c r="W89" i="1"/>
  <c r="AL89" i="1" s="1"/>
  <c r="G89" i="1"/>
  <c r="K89" i="1" s="1"/>
  <c r="AK89" i="1" s="1"/>
  <c r="AF88" i="1"/>
  <c r="AB88" i="1"/>
  <c r="W88" i="1"/>
  <c r="AL88" i="1" s="1"/>
  <c r="G88" i="1"/>
  <c r="K88" i="1" s="1"/>
  <c r="AK88" i="1" s="1"/>
  <c r="AF87" i="1"/>
  <c r="AB87" i="1"/>
  <c r="W87" i="1"/>
  <c r="AL87" i="1" s="1"/>
  <c r="G87" i="1"/>
  <c r="K87" i="1" s="1"/>
  <c r="AK87" i="1" s="1"/>
  <c r="AL86" i="1"/>
  <c r="AF86" i="1"/>
  <c r="AB86" i="1"/>
  <c r="W86" i="1"/>
  <c r="G86" i="1"/>
  <c r="K86" i="1" s="1"/>
  <c r="AK86" i="1" s="1"/>
  <c r="AF85" i="1"/>
  <c r="AB85" i="1"/>
  <c r="W85" i="1"/>
  <c r="AL85" i="1" s="1"/>
  <c r="G85" i="1"/>
  <c r="K85" i="1" s="1"/>
  <c r="AK85" i="1" s="1"/>
  <c r="AQ85" i="1" s="1"/>
  <c r="AE84" i="1"/>
  <c r="AF84" i="1" s="1"/>
  <c r="AB84" i="1"/>
  <c r="W84" i="1"/>
  <c r="G84" i="1"/>
  <c r="K84" i="1" s="1"/>
  <c r="AK84" i="1" s="1"/>
  <c r="AF83" i="1"/>
  <c r="AB83" i="1"/>
  <c r="W83" i="1"/>
  <c r="AL83" i="1" s="1"/>
  <c r="G83" i="1"/>
  <c r="K83" i="1" s="1"/>
  <c r="AK83" i="1" s="1"/>
  <c r="AF82" i="1"/>
  <c r="AB82" i="1"/>
  <c r="W82" i="1"/>
  <c r="G82" i="1"/>
  <c r="K82" i="1" s="1"/>
  <c r="AK82" i="1" s="1"/>
  <c r="AF81" i="1"/>
  <c r="AB81" i="1"/>
  <c r="W81" i="1"/>
  <c r="AL81" i="1" s="1"/>
  <c r="G81" i="1"/>
  <c r="K81" i="1" s="1"/>
  <c r="AK81" i="1" s="1"/>
  <c r="AQ81" i="1" s="1"/>
  <c r="AF80" i="1"/>
  <c r="AB80" i="1"/>
  <c r="W80" i="1"/>
  <c r="AL80" i="1" s="1"/>
  <c r="G80" i="1"/>
  <c r="K80" i="1" s="1"/>
  <c r="AK80" i="1" s="1"/>
  <c r="AF79" i="1"/>
  <c r="AB79" i="1"/>
  <c r="W79" i="1"/>
  <c r="AL79" i="1" s="1"/>
  <c r="G79" i="1"/>
  <c r="K79" i="1" s="1"/>
  <c r="AK79" i="1" s="1"/>
  <c r="AQ79" i="1" s="1"/>
  <c r="AF78" i="1"/>
  <c r="AB78" i="1"/>
  <c r="W78" i="1"/>
  <c r="AL78" i="1" s="1"/>
  <c r="G78" i="1"/>
  <c r="K78" i="1" s="1"/>
  <c r="AK78" i="1" s="1"/>
  <c r="AF77" i="1"/>
  <c r="AB77" i="1"/>
  <c r="W77" i="1"/>
  <c r="AL77" i="1" s="1"/>
  <c r="G77" i="1"/>
  <c r="K77" i="1" s="1"/>
  <c r="AK77" i="1" s="1"/>
  <c r="AF76" i="1"/>
  <c r="AB76" i="1"/>
  <c r="W76" i="1"/>
  <c r="AL76" i="1" s="1"/>
  <c r="G76" i="1"/>
  <c r="K76" i="1" s="1"/>
  <c r="AK76" i="1" s="1"/>
  <c r="AQ76" i="1" s="1"/>
  <c r="AF75" i="1"/>
  <c r="AB75" i="1"/>
  <c r="W75" i="1"/>
  <c r="G75" i="1"/>
  <c r="K75" i="1" s="1"/>
  <c r="AK75" i="1" s="1"/>
  <c r="AF74" i="1"/>
  <c r="AB74" i="1"/>
  <c r="AL74" i="1" s="1"/>
  <c r="W74" i="1"/>
  <c r="G74" i="1"/>
  <c r="K74" i="1" s="1"/>
  <c r="AK74" i="1" s="1"/>
  <c r="AF73" i="1"/>
  <c r="AB73" i="1"/>
  <c r="W73" i="1"/>
  <c r="G73" i="1"/>
  <c r="K73" i="1" s="1"/>
  <c r="AK73" i="1" s="1"/>
  <c r="AF72" i="1"/>
  <c r="AB72" i="1"/>
  <c r="W72" i="1"/>
  <c r="AL72" i="1" s="1"/>
  <c r="G72" i="1"/>
  <c r="K72" i="1" s="1"/>
  <c r="AK72" i="1" s="1"/>
  <c r="AQ72" i="1" s="1"/>
  <c r="AF71" i="1"/>
  <c r="AB71" i="1"/>
  <c r="W71" i="1"/>
  <c r="AL71" i="1" s="1"/>
  <c r="G71" i="1"/>
  <c r="K71" i="1" s="1"/>
  <c r="AK71" i="1" s="1"/>
  <c r="AF70" i="1"/>
  <c r="AB70" i="1"/>
  <c r="W70" i="1"/>
  <c r="G70" i="1"/>
  <c r="K70" i="1" s="1"/>
  <c r="AK70" i="1" s="1"/>
  <c r="AF69" i="1"/>
  <c r="AB69" i="1"/>
  <c r="W69" i="1"/>
  <c r="AL69" i="1" s="1"/>
  <c r="G69" i="1"/>
  <c r="K69" i="1" s="1"/>
  <c r="AK69" i="1" s="1"/>
  <c r="AF68" i="1"/>
  <c r="AB68" i="1"/>
  <c r="W68" i="1"/>
  <c r="AL68" i="1" s="1"/>
  <c r="G68" i="1"/>
  <c r="K68" i="1" s="1"/>
  <c r="AK68" i="1" s="1"/>
  <c r="AF67" i="1"/>
  <c r="AB67" i="1"/>
  <c r="W67" i="1"/>
  <c r="G67" i="1"/>
  <c r="K67" i="1" s="1"/>
  <c r="AK67" i="1" s="1"/>
  <c r="AF66" i="1"/>
  <c r="AB66" i="1"/>
  <c r="W66" i="1"/>
  <c r="AL66" i="1" s="1"/>
  <c r="G66" i="1"/>
  <c r="K66" i="1" s="1"/>
  <c r="AK66" i="1" s="1"/>
  <c r="AF65" i="1"/>
  <c r="AB65" i="1"/>
  <c r="W65" i="1"/>
  <c r="AL65" i="1" s="1"/>
  <c r="G65" i="1"/>
  <c r="K65" i="1" s="1"/>
  <c r="AK65" i="1" s="1"/>
  <c r="AO65" i="1" s="1"/>
  <c r="AP65" i="1" s="1"/>
  <c r="AF64" i="1"/>
  <c r="AB64" i="1"/>
  <c r="W64" i="1"/>
  <c r="AL64" i="1" s="1"/>
  <c r="G64" i="1"/>
  <c r="K64" i="1" s="1"/>
  <c r="AK64" i="1" s="1"/>
  <c r="AQ64" i="1" s="1"/>
  <c r="AF63" i="1"/>
  <c r="AE63" i="1"/>
  <c r="AB63" i="1"/>
  <c r="W63" i="1"/>
  <c r="AL63" i="1" s="1"/>
  <c r="G63" i="1"/>
  <c r="K63" i="1" s="1"/>
  <c r="AK63" i="1" s="1"/>
  <c r="AF62" i="1"/>
  <c r="AB62" i="1"/>
  <c r="W62" i="1"/>
  <c r="G62" i="1"/>
  <c r="K62" i="1" s="1"/>
  <c r="AK62" i="1" s="1"/>
  <c r="AF61" i="1"/>
  <c r="AB61" i="1"/>
  <c r="W61" i="1"/>
  <c r="AL61" i="1" s="1"/>
  <c r="G61" i="1"/>
  <c r="K61" i="1" s="1"/>
  <c r="AK61" i="1" s="1"/>
  <c r="AQ61" i="1" s="1"/>
  <c r="AF60" i="1"/>
  <c r="AB60" i="1"/>
  <c r="W60" i="1"/>
  <c r="AL60" i="1" s="1"/>
  <c r="G60" i="1"/>
  <c r="K60" i="1" s="1"/>
  <c r="AK60" i="1" s="1"/>
  <c r="AF59" i="1"/>
  <c r="AB59" i="1"/>
  <c r="W59" i="1"/>
  <c r="AL59" i="1" s="1"/>
  <c r="G59" i="1"/>
  <c r="K59" i="1" s="1"/>
  <c r="AK59" i="1" s="1"/>
  <c r="AE58" i="1"/>
  <c r="AF58" i="1" s="1"/>
  <c r="AB58" i="1"/>
  <c r="W58" i="1"/>
  <c r="AL58" i="1" s="1"/>
  <c r="G58" i="1"/>
  <c r="K58" i="1" s="1"/>
  <c r="AK58" i="1" s="1"/>
  <c r="AF57" i="1"/>
  <c r="AB57" i="1"/>
  <c r="W57" i="1"/>
  <c r="G57" i="1"/>
  <c r="K57" i="1" s="1"/>
  <c r="AK57" i="1" s="1"/>
  <c r="AF56" i="1"/>
  <c r="AB56" i="1"/>
  <c r="W56" i="1"/>
  <c r="AL56" i="1" s="1"/>
  <c r="G56" i="1"/>
  <c r="K56" i="1" s="1"/>
  <c r="AK56" i="1" s="1"/>
  <c r="AI55" i="1"/>
  <c r="AF55" i="1"/>
  <c r="AB55" i="1"/>
  <c r="W55" i="1"/>
  <c r="AL55" i="1" s="1"/>
  <c r="G55" i="1"/>
  <c r="K55" i="1" s="1"/>
  <c r="AK55" i="1" s="1"/>
  <c r="AI54" i="1"/>
  <c r="AF54" i="1"/>
  <c r="AB54" i="1"/>
  <c r="W54" i="1"/>
  <c r="G54" i="1"/>
  <c r="K54" i="1" s="1"/>
  <c r="AK54" i="1" s="1"/>
  <c r="AF53" i="1"/>
  <c r="AB53" i="1"/>
  <c r="W53" i="1"/>
  <c r="AL53" i="1" s="1"/>
  <c r="G53" i="1"/>
  <c r="K53" i="1" s="1"/>
  <c r="AK53" i="1" s="1"/>
  <c r="AI52" i="1"/>
  <c r="AE52" i="1"/>
  <c r="AF52" i="1" s="1"/>
  <c r="AB52" i="1"/>
  <c r="W52" i="1"/>
  <c r="AL52" i="1" s="1"/>
  <c r="G52" i="1"/>
  <c r="K52" i="1" s="1"/>
  <c r="AK52" i="1" s="1"/>
  <c r="AQ52" i="1" s="1"/>
  <c r="AF51" i="1"/>
  <c r="AB51" i="1"/>
  <c r="W51" i="1"/>
  <c r="G51" i="1"/>
  <c r="K51" i="1" s="1"/>
  <c r="AK51" i="1" s="1"/>
  <c r="AE50" i="1"/>
  <c r="AF50" i="1" s="1"/>
  <c r="AB50" i="1"/>
  <c r="W50" i="1"/>
  <c r="AL50" i="1" s="1"/>
  <c r="G50" i="1"/>
  <c r="K50" i="1" s="1"/>
  <c r="AK50" i="1" s="1"/>
  <c r="AQ50" i="1" s="1"/>
  <c r="AF49" i="1"/>
  <c r="AB49" i="1"/>
  <c r="W49" i="1"/>
  <c r="AL49" i="1" s="1"/>
  <c r="K49" i="1"/>
  <c r="AK49" i="1" s="1"/>
  <c r="G49" i="1"/>
  <c r="AI48" i="1"/>
  <c r="AF48" i="1"/>
  <c r="AB48" i="1"/>
  <c r="W48" i="1"/>
  <c r="AL48" i="1" s="1"/>
  <c r="G48" i="1"/>
  <c r="K48" i="1" s="1"/>
  <c r="AK48" i="1" s="1"/>
  <c r="AQ48" i="1" s="1"/>
  <c r="AI47" i="1"/>
  <c r="AF47" i="1"/>
  <c r="AB47" i="1"/>
  <c r="W47" i="1"/>
  <c r="G47" i="1"/>
  <c r="K47" i="1" s="1"/>
  <c r="AK47" i="1" s="1"/>
  <c r="AE46" i="1"/>
  <c r="AF46" i="1" s="1"/>
  <c r="AB46" i="1"/>
  <c r="W46" i="1"/>
  <c r="AL46" i="1" s="1"/>
  <c r="G46" i="1"/>
  <c r="K46" i="1" s="1"/>
  <c r="AK46" i="1" s="1"/>
  <c r="AF45" i="1"/>
  <c r="AB45" i="1"/>
  <c r="W45" i="1"/>
  <c r="G45" i="1"/>
  <c r="K45" i="1" s="1"/>
  <c r="AK45" i="1" s="1"/>
  <c r="AF44" i="1"/>
  <c r="AB44" i="1"/>
  <c r="W44" i="1"/>
  <c r="AL44" i="1" s="1"/>
  <c r="G44" i="1"/>
  <c r="K44" i="1" s="1"/>
  <c r="AK44" i="1" s="1"/>
  <c r="AF43" i="1"/>
  <c r="AB43" i="1"/>
  <c r="AL43" i="1" s="1"/>
  <c r="W43" i="1"/>
  <c r="G43" i="1"/>
  <c r="K43" i="1" s="1"/>
  <c r="AK43" i="1" s="1"/>
  <c r="AQ43" i="1" s="1"/>
  <c r="AF42" i="1"/>
  <c r="AB42" i="1"/>
  <c r="W42" i="1"/>
  <c r="AL42" i="1" s="1"/>
  <c r="G42" i="1"/>
  <c r="K42" i="1" s="1"/>
  <c r="AK42" i="1" s="1"/>
  <c r="AF41" i="1"/>
  <c r="AB41" i="1"/>
  <c r="W41" i="1"/>
  <c r="G41" i="1"/>
  <c r="K41" i="1" s="1"/>
  <c r="AK41" i="1" s="1"/>
  <c r="AI40" i="1"/>
  <c r="AF40" i="1"/>
  <c r="AB40" i="1"/>
  <c r="W40" i="1"/>
  <c r="AL40" i="1" s="1"/>
  <c r="G40" i="1"/>
  <c r="K40" i="1" s="1"/>
  <c r="AK40" i="1" s="1"/>
  <c r="AQ40" i="1" s="1"/>
  <c r="AF39" i="1"/>
  <c r="AB39" i="1"/>
  <c r="W39" i="1"/>
  <c r="AL39" i="1" s="1"/>
  <c r="G39" i="1"/>
  <c r="K39" i="1" s="1"/>
  <c r="AK39" i="1" s="1"/>
  <c r="AF38" i="1"/>
  <c r="AB38" i="1"/>
  <c r="W38" i="1"/>
  <c r="AL38" i="1" s="1"/>
  <c r="G38" i="1"/>
  <c r="K38" i="1" s="1"/>
  <c r="AK38" i="1" s="1"/>
  <c r="AE37" i="1"/>
  <c r="AF37" i="1" s="1"/>
  <c r="AB37" i="1"/>
  <c r="W37" i="1"/>
  <c r="AL37" i="1" s="1"/>
  <c r="G37" i="1"/>
  <c r="K37" i="1" s="1"/>
  <c r="AK37" i="1" s="1"/>
  <c r="AE36" i="1"/>
  <c r="AF36" i="1" s="1"/>
  <c r="AB36" i="1"/>
  <c r="W36" i="1"/>
  <c r="G36" i="1"/>
  <c r="K36" i="1" s="1"/>
  <c r="AK36" i="1" s="1"/>
  <c r="AE35" i="1"/>
  <c r="AF35" i="1" s="1"/>
  <c r="AO35" i="1" s="1"/>
  <c r="AP35" i="1" s="1"/>
  <c r="AB35" i="1"/>
  <c r="W35" i="1"/>
  <c r="AL35" i="1" s="1"/>
  <c r="G35" i="1"/>
  <c r="K35" i="1" s="1"/>
  <c r="AK35" i="1" s="1"/>
  <c r="AQ35" i="1" s="1"/>
  <c r="AF34" i="1"/>
  <c r="AB34" i="1"/>
  <c r="W34" i="1"/>
  <c r="AL34" i="1" s="1"/>
  <c r="G34" i="1"/>
  <c r="K34" i="1" s="1"/>
  <c r="AK34" i="1" s="1"/>
  <c r="AF33" i="1"/>
  <c r="AB33" i="1"/>
  <c r="W33" i="1"/>
  <c r="AL33" i="1" s="1"/>
  <c r="G33" i="1"/>
  <c r="K33" i="1" s="1"/>
  <c r="AK33" i="1" s="1"/>
  <c r="AQ33" i="1" s="1"/>
  <c r="AF32" i="1"/>
  <c r="AB32" i="1"/>
  <c r="AL32" i="1" s="1"/>
  <c r="W32" i="1"/>
  <c r="G32" i="1"/>
  <c r="K32" i="1" s="1"/>
  <c r="AK32" i="1" s="1"/>
  <c r="AQ32" i="1" s="1"/>
  <c r="AE31" i="1"/>
  <c r="AF31" i="1" s="1"/>
  <c r="AB31" i="1"/>
  <c r="W31" i="1"/>
  <c r="AL31" i="1" s="1"/>
  <c r="G31" i="1"/>
  <c r="K31" i="1" s="1"/>
  <c r="AK31" i="1" s="1"/>
  <c r="AE30" i="1"/>
  <c r="AF30" i="1" s="1"/>
  <c r="AB30" i="1"/>
  <c r="W30" i="1"/>
  <c r="G30" i="1"/>
  <c r="K30" i="1" s="1"/>
  <c r="AK30" i="1" s="1"/>
  <c r="AF29" i="1"/>
  <c r="AB29" i="1"/>
  <c r="W29" i="1"/>
  <c r="AL29" i="1" s="1"/>
  <c r="G29" i="1"/>
  <c r="K29" i="1" s="1"/>
  <c r="AK29" i="1" s="1"/>
  <c r="AQ29" i="1" s="1"/>
  <c r="AE28" i="1"/>
  <c r="AF28" i="1" s="1"/>
  <c r="AB28" i="1"/>
  <c r="W28" i="1"/>
  <c r="AL28" i="1" s="1"/>
  <c r="G28" i="1"/>
  <c r="K28" i="1" s="1"/>
  <c r="AK28" i="1" s="1"/>
  <c r="AE27" i="1"/>
  <c r="AF27" i="1" s="1"/>
  <c r="AB27" i="1"/>
  <c r="W27" i="1"/>
  <c r="AL27" i="1" s="1"/>
  <c r="G27" i="1"/>
  <c r="K27" i="1" s="1"/>
  <c r="AK27" i="1" s="1"/>
  <c r="AQ27" i="1" s="1"/>
  <c r="AE26" i="1"/>
  <c r="AF26" i="1" s="1"/>
  <c r="AB26" i="1"/>
  <c r="W26" i="1"/>
  <c r="AL26" i="1" s="1"/>
  <c r="G26" i="1"/>
  <c r="K26" i="1" s="1"/>
  <c r="AK26" i="1" s="1"/>
  <c r="AQ26" i="1" s="1"/>
  <c r="AL25" i="1"/>
  <c r="AE25" i="1"/>
  <c r="AF25" i="1" s="1"/>
  <c r="AO25" i="1" s="1"/>
  <c r="AP25" i="1" s="1"/>
  <c r="AB25" i="1"/>
  <c r="W25" i="1"/>
  <c r="G25" i="1"/>
  <c r="K25" i="1" s="1"/>
  <c r="AK25" i="1" s="1"/>
  <c r="AQ25" i="1" s="1"/>
  <c r="AF24" i="1"/>
  <c r="AB24" i="1"/>
  <c r="W24" i="1"/>
  <c r="AL24" i="1" s="1"/>
  <c r="G24" i="1"/>
  <c r="K24" i="1" s="1"/>
  <c r="AK24" i="1" s="1"/>
  <c r="AQ24" i="1" s="1"/>
  <c r="AE23" i="1"/>
  <c r="AF23" i="1" s="1"/>
  <c r="AB23" i="1"/>
  <c r="W23" i="1"/>
  <c r="AL23" i="1" s="1"/>
  <c r="K23" i="1"/>
  <c r="AK23" i="1" s="1"/>
  <c r="AQ23" i="1" s="1"/>
  <c r="G23" i="1"/>
  <c r="AF22" i="1"/>
  <c r="AB22" i="1"/>
  <c r="W22" i="1"/>
  <c r="AL22" i="1" s="1"/>
  <c r="G22" i="1"/>
  <c r="K22" i="1" s="1"/>
  <c r="AK22" i="1" s="1"/>
  <c r="AF21" i="1"/>
  <c r="AB21" i="1"/>
  <c r="W21" i="1"/>
  <c r="G21" i="1"/>
  <c r="K21" i="1" s="1"/>
  <c r="AK21" i="1" s="1"/>
  <c r="AE20" i="1"/>
  <c r="AF20" i="1" s="1"/>
  <c r="AB20" i="1"/>
  <c r="W20" i="1"/>
  <c r="AL20" i="1" s="1"/>
  <c r="G20" i="1"/>
  <c r="K20" i="1" s="1"/>
  <c r="AK20" i="1" s="1"/>
  <c r="AF19" i="1"/>
  <c r="AB19" i="1"/>
  <c r="W19" i="1"/>
  <c r="AL19" i="1" s="1"/>
  <c r="G19" i="1"/>
  <c r="K19" i="1" s="1"/>
  <c r="AK19" i="1" s="1"/>
  <c r="AF18" i="1"/>
  <c r="AB18" i="1"/>
  <c r="AL18" i="1" s="1"/>
  <c r="W18" i="1"/>
  <c r="G18" i="1"/>
  <c r="K18" i="1" s="1"/>
  <c r="AK18" i="1" s="1"/>
  <c r="AF17" i="1"/>
  <c r="AB17" i="1"/>
  <c r="W17" i="1"/>
  <c r="G17" i="1"/>
  <c r="K17" i="1" s="1"/>
  <c r="AK17" i="1" s="1"/>
  <c r="AI16" i="1"/>
  <c r="AF16" i="1"/>
  <c r="AB16" i="1"/>
  <c r="W16" i="1"/>
  <c r="AL16" i="1" s="1"/>
  <c r="G16" i="1"/>
  <c r="K16" i="1" s="1"/>
  <c r="AK16" i="1" s="1"/>
  <c r="AF15" i="1"/>
  <c r="AB15" i="1"/>
  <c r="W15" i="1"/>
  <c r="AL15" i="1" s="1"/>
  <c r="G15" i="1"/>
  <c r="K15" i="1" s="1"/>
  <c r="AK15" i="1" s="1"/>
  <c r="AQ15" i="1" s="1"/>
  <c r="AF14" i="1"/>
  <c r="AB14" i="1"/>
  <c r="W14" i="1"/>
  <c r="G14" i="1"/>
  <c r="K14" i="1" s="1"/>
  <c r="AK14" i="1" s="1"/>
  <c r="AF13" i="1"/>
  <c r="AB13" i="1"/>
  <c r="W13" i="1"/>
  <c r="AL13" i="1" s="1"/>
  <c r="G13" i="1"/>
  <c r="K13" i="1" s="1"/>
  <c r="AK13" i="1" s="1"/>
  <c r="AQ13" i="1" s="1"/>
  <c r="AF12" i="1"/>
  <c r="AB12" i="1"/>
  <c r="W12" i="1"/>
  <c r="AL12" i="1" s="1"/>
  <c r="G12" i="1"/>
  <c r="K12" i="1" s="1"/>
  <c r="AK12" i="1" s="1"/>
  <c r="AF11" i="1"/>
  <c r="AB11" i="1"/>
  <c r="W11" i="1"/>
  <c r="AL11" i="1" s="1"/>
  <c r="G11" i="1"/>
  <c r="K11" i="1" s="1"/>
  <c r="AK11" i="1" s="1"/>
  <c r="AQ11" i="1" s="1"/>
  <c r="AF10" i="1"/>
  <c r="AB10" i="1"/>
  <c r="W10" i="1"/>
  <c r="AL10" i="1" s="1"/>
  <c r="G10" i="1"/>
  <c r="K10" i="1" s="1"/>
  <c r="AK10" i="1" s="1"/>
  <c r="AF9" i="1"/>
  <c r="AB9" i="1"/>
  <c r="W9" i="1"/>
  <c r="AL9" i="1" s="1"/>
  <c r="G9" i="1"/>
  <c r="K9" i="1" s="1"/>
  <c r="AK9" i="1" s="1"/>
  <c r="AF8" i="1"/>
  <c r="AB8" i="1"/>
  <c r="W8" i="1"/>
  <c r="AL8" i="1" s="1"/>
  <c r="G8" i="1"/>
  <c r="K8" i="1" s="1"/>
  <c r="AK8" i="1" s="1"/>
  <c r="AO8" i="1" s="1"/>
  <c r="AP8" i="1" s="1"/>
  <c r="AF7" i="1"/>
  <c r="AB7" i="1"/>
  <c r="W7" i="1"/>
  <c r="AL7" i="1" s="1"/>
  <c r="G7" i="1"/>
  <c r="K7" i="1" s="1"/>
  <c r="AK7" i="1" s="1"/>
  <c r="AQ7" i="1" s="1"/>
  <c r="AF6" i="1"/>
  <c r="AB6" i="1"/>
  <c r="W6" i="1"/>
  <c r="AL6" i="1" s="1"/>
  <c r="G6" i="1"/>
  <c r="K6" i="1" s="1"/>
  <c r="AK6" i="1" s="1"/>
  <c r="AO6" i="1" s="1"/>
  <c r="AP6" i="1" s="1"/>
  <c r="AF5" i="1"/>
  <c r="AB5" i="1"/>
  <c r="W5" i="1"/>
  <c r="AL5" i="1" s="1"/>
  <c r="G5" i="1"/>
  <c r="K5" i="1" s="1"/>
  <c r="AK5" i="1" s="1"/>
  <c r="AQ73" i="1" l="1"/>
  <c r="AO27" i="1"/>
  <c r="AP27" i="1" s="1"/>
  <c r="AQ100" i="1"/>
  <c r="AQ57" i="1"/>
  <c r="AO149" i="1"/>
  <c r="AP149" i="1" s="1"/>
  <c r="AO67" i="1"/>
  <c r="AP67" i="1" s="1"/>
  <c r="AQ56" i="1"/>
  <c r="AQ195" i="1"/>
  <c r="AQ16" i="1"/>
  <c r="AO26" i="1"/>
  <c r="AP26" i="1" s="1"/>
  <c r="AL30" i="1"/>
  <c r="AQ30" i="1" s="1"/>
  <c r="AQ34" i="1"/>
  <c r="AL84" i="1"/>
  <c r="AQ84" i="1" s="1"/>
  <c r="AQ88" i="1"/>
  <c r="AL100" i="1"/>
  <c r="AO100" i="1" s="1"/>
  <c r="AP100" i="1" s="1"/>
  <c r="AL123" i="1"/>
  <c r="AO123" i="1" s="1"/>
  <c r="AP123" i="1" s="1"/>
  <c r="AF151" i="1"/>
  <c r="K160" i="1"/>
  <c r="AK160" i="1" s="1"/>
  <c r="AL164" i="1"/>
  <c r="AL187" i="1"/>
  <c r="AL195" i="1"/>
  <c r="AL67" i="1"/>
  <c r="AQ67" i="1" s="1"/>
  <c r="AL175" i="1"/>
  <c r="AQ175" i="1" s="1"/>
  <c r="AQ147" i="1"/>
  <c r="AO110" i="1"/>
  <c r="AP110" i="1" s="1"/>
  <c r="AL139" i="1"/>
  <c r="AQ139" i="1" s="1"/>
  <c r="AL171" i="1"/>
  <c r="AO171" i="1" s="1"/>
  <c r="AP171" i="1" s="1"/>
  <c r="AQ107" i="1"/>
  <c r="AQ155" i="1"/>
  <c r="AQ176" i="1"/>
  <c r="AL160" i="1"/>
  <c r="AQ160" i="1" s="1"/>
  <c r="AQ161" i="1"/>
  <c r="AQ46" i="1"/>
  <c r="AQ146" i="1"/>
  <c r="AQ153" i="1"/>
  <c r="AQ170" i="1"/>
  <c r="AQ181" i="1"/>
  <c r="AO90" i="1"/>
  <c r="AP90" i="1" s="1"/>
  <c r="AQ87" i="1"/>
  <c r="AL147" i="1"/>
  <c r="AO147" i="1" s="1"/>
  <c r="AP147" i="1" s="1"/>
  <c r="AQ168" i="1"/>
  <c r="AL45" i="1"/>
  <c r="AO45" i="1" s="1"/>
  <c r="AP45" i="1" s="1"/>
  <c r="AQ173" i="1"/>
  <c r="AQ89" i="1"/>
  <c r="AQ39" i="1"/>
  <c r="AO82" i="1"/>
  <c r="AP82" i="1" s="1"/>
  <c r="AQ37" i="1"/>
  <c r="AL75" i="1"/>
  <c r="AO75" i="1" s="1"/>
  <c r="AP75" i="1" s="1"/>
  <c r="AO56" i="1"/>
  <c r="AP56" i="1" s="1"/>
  <c r="AQ101" i="1"/>
  <c r="AL141" i="1"/>
  <c r="AQ141" i="1" s="1"/>
  <c r="G188" i="1"/>
  <c r="K188" i="1" s="1"/>
  <c r="AK188" i="1" s="1"/>
  <c r="AQ105" i="1"/>
  <c r="AL133" i="1"/>
  <c r="AQ133" i="1" s="1"/>
  <c r="AL184" i="1"/>
  <c r="AO184" i="1" s="1"/>
  <c r="AP184" i="1" s="1"/>
  <c r="AL124" i="1"/>
  <c r="AQ124" i="1" s="1"/>
  <c r="AL17" i="1"/>
  <c r="AQ17" i="1" s="1"/>
  <c r="AL142" i="1"/>
  <c r="AQ142" i="1" s="1"/>
  <c r="AQ47" i="1"/>
  <c r="AL54" i="1"/>
  <c r="AQ54" i="1" s="1"/>
  <c r="AL130" i="1"/>
  <c r="AO142" i="1"/>
  <c r="AP142" i="1" s="1"/>
  <c r="AO146" i="1"/>
  <c r="AP146" i="1" s="1"/>
  <c r="AO153" i="1"/>
  <c r="AP153" i="1" s="1"/>
  <c r="AO170" i="1"/>
  <c r="AP170" i="1" s="1"/>
  <c r="AO181" i="1"/>
  <c r="AP181" i="1" s="1"/>
  <c r="AO21" i="1"/>
  <c r="AP21" i="1" s="1"/>
  <c r="AO106" i="1"/>
  <c r="AP106" i="1" s="1"/>
  <c r="AO78" i="1"/>
  <c r="AP78" i="1" s="1"/>
  <c r="AO154" i="1"/>
  <c r="AP154" i="1" s="1"/>
  <c r="AL114" i="1"/>
  <c r="AQ6" i="1"/>
  <c r="AQ80" i="1"/>
  <c r="AL115" i="1"/>
  <c r="AQ115" i="1" s="1"/>
  <c r="AQ184" i="1"/>
  <c r="AO46" i="1"/>
  <c r="AP46" i="1" s="1"/>
  <c r="AQ18" i="1"/>
  <c r="AL21" i="1"/>
  <c r="AQ21" i="1" s="1"/>
  <c r="AQ74" i="1"/>
  <c r="AQ110" i="1"/>
  <c r="AL121" i="1"/>
  <c r="AQ121" i="1" s="1"/>
  <c r="AO18" i="1"/>
  <c r="AP18" i="1" s="1"/>
  <c r="AQ44" i="1"/>
  <c r="AQ96" i="1"/>
  <c r="AL118" i="1"/>
  <c r="AQ118" i="1" s="1"/>
  <c r="AO30" i="1"/>
  <c r="AP30" i="1" s="1"/>
  <c r="AQ152" i="1"/>
  <c r="AO112" i="1"/>
  <c r="AP112" i="1" s="1"/>
  <c r="AL57" i="1"/>
  <c r="AL73" i="1"/>
  <c r="AQ58" i="1"/>
  <c r="AL14" i="1"/>
  <c r="AL36" i="1"/>
  <c r="AQ36" i="1" s="1"/>
  <c r="AL47" i="1"/>
  <c r="AL51" i="1"/>
  <c r="AQ51" i="1" s="1"/>
  <c r="AL62" i="1"/>
  <c r="AQ62" i="1" s="1"/>
  <c r="AL70" i="1"/>
  <c r="AQ70" i="1" s="1"/>
  <c r="AL82" i="1"/>
  <c r="AQ82" i="1" s="1"/>
  <c r="AO102" i="1"/>
  <c r="AP102" i="1" s="1"/>
  <c r="AL117" i="1"/>
  <c r="AQ117" i="1" s="1"/>
  <c r="AO166" i="1"/>
  <c r="AP166" i="1" s="1"/>
  <c r="K186" i="1"/>
  <c r="AK186" i="1" s="1"/>
  <c r="AQ186" i="1" s="1"/>
  <c r="AO150" i="1"/>
  <c r="AP150" i="1" s="1"/>
  <c r="AQ163" i="1"/>
  <c r="AO163" i="1"/>
  <c r="AP163" i="1" s="1"/>
  <c r="AQ68" i="1"/>
  <c r="AO68" i="1"/>
  <c r="AP68" i="1" s="1"/>
  <c r="AQ83" i="1"/>
  <c r="AO83" i="1"/>
  <c r="AP83" i="1" s="1"/>
  <c r="AO87" i="1"/>
  <c r="AP87" i="1" s="1"/>
  <c r="AQ143" i="1"/>
  <c r="AQ122" i="1"/>
  <c r="AO122" i="1"/>
  <c r="AP122" i="1" s="1"/>
  <c r="AO15" i="1"/>
  <c r="AP15" i="1" s="1"/>
  <c r="AQ53" i="1"/>
  <c r="AQ22" i="1"/>
  <c r="AO22" i="1"/>
  <c r="AP22" i="1" s="1"/>
  <c r="AO107" i="1"/>
  <c r="AP107" i="1" s="1"/>
  <c r="AO50" i="1"/>
  <c r="AP50" i="1" s="1"/>
  <c r="AO72" i="1"/>
  <c r="AP72" i="1" s="1"/>
  <c r="AO144" i="1"/>
  <c r="AP144" i="1" s="1"/>
  <c r="AQ183" i="1"/>
  <c r="AQ65" i="1"/>
  <c r="AO108" i="1"/>
  <c r="AP108" i="1" s="1"/>
  <c r="AQ5" i="1"/>
  <c r="AQ9" i="1"/>
  <c r="AQ55" i="1"/>
  <c r="AQ66" i="1"/>
  <c r="AO66" i="1"/>
  <c r="AP66" i="1" s="1"/>
  <c r="AO73" i="1"/>
  <c r="AP73" i="1" s="1"/>
  <c r="AQ77" i="1"/>
  <c r="AO77" i="1"/>
  <c r="AP77" i="1" s="1"/>
  <c r="AO89" i="1"/>
  <c r="AP89" i="1" s="1"/>
  <c r="AQ97" i="1"/>
  <c r="AO101" i="1"/>
  <c r="AP101" i="1" s="1"/>
  <c r="AQ109" i="1"/>
  <c r="AO133" i="1"/>
  <c r="AP133" i="1" s="1"/>
  <c r="AO141" i="1"/>
  <c r="AP141" i="1" s="1"/>
  <c r="AO180" i="1"/>
  <c r="AP180" i="1" s="1"/>
  <c r="AQ128" i="1"/>
  <c r="AO128" i="1"/>
  <c r="AP128" i="1" s="1"/>
  <c r="AO168" i="1"/>
  <c r="AP168" i="1" s="1"/>
  <c r="AQ119" i="1"/>
  <c r="AO119" i="1"/>
  <c r="AP119" i="1" s="1"/>
  <c r="AO195" i="1"/>
  <c r="AP195" i="1" s="1"/>
  <c r="AO136" i="1"/>
  <c r="AP136" i="1" s="1"/>
  <c r="AQ169" i="1"/>
  <c r="AO169" i="1"/>
  <c r="AP169" i="1" s="1"/>
  <c r="AO190" i="1"/>
  <c r="AP190" i="1" s="1"/>
  <c r="AO69" i="1"/>
  <c r="AP69" i="1" s="1"/>
  <c r="AQ69" i="1"/>
  <c r="AO152" i="1"/>
  <c r="AP152" i="1" s="1"/>
  <c r="AO13" i="1"/>
  <c r="AP13" i="1" s="1"/>
  <c r="AQ20" i="1"/>
  <c r="AQ31" i="1"/>
  <c r="AO31" i="1"/>
  <c r="AP31" i="1" s="1"/>
  <c r="AO34" i="1"/>
  <c r="AP34" i="1" s="1"/>
  <c r="AL41" i="1"/>
  <c r="AQ41" i="1" s="1"/>
  <c r="AO156" i="1"/>
  <c r="AP156" i="1" s="1"/>
  <c r="AO191" i="1"/>
  <c r="AP191" i="1" s="1"/>
  <c r="AQ191" i="1"/>
  <c r="AO196" i="1"/>
  <c r="AP196" i="1" s="1"/>
  <c r="AO91" i="1"/>
  <c r="AP91" i="1" s="1"/>
  <c r="AQ187" i="1"/>
  <c r="AO187" i="1"/>
  <c r="AP187" i="1" s="1"/>
  <c r="AQ12" i="1"/>
  <c r="AO12" i="1"/>
  <c r="AP12" i="1" s="1"/>
  <c r="AO114" i="1"/>
  <c r="AP114" i="1" s="1"/>
  <c r="AO164" i="1"/>
  <c r="AP164" i="1" s="1"/>
  <c r="AQ164" i="1"/>
  <c r="AO43" i="1"/>
  <c r="AP43" i="1" s="1"/>
  <c r="AO111" i="1"/>
  <c r="AP111" i="1" s="1"/>
  <c r="AO151" i="1"/>
  <c r="AP151" i="1" s="1"/>
  <c r="AO155" i="1"/>
  <c r="AP155" i="1" s="1"/>
  <c r="AO47" i="1"/>
  <c r="AP47" i="1" s="1"/>
  <c r="AO23" i="1"/>
  <c r="AP23" i="1" s="1"/>
  <c r="AO37" i="1"/>
  <c r="AP37" i="1" s="1"/>
  <c r="AO97" i="1"/>
  <c r="AP97" i="1" s="1"/>
  <c r="AQ188" i="1"/>
  <c r="AO188" i="1"/>
  <c r="AP188" i="1" s="1"/>
  <c r="AO120" i="1"/>
  <c r="AP120" i="1" s="1"/>
  <c r="AQ120" i="1"/>
  <c r="AO20" i="1"/>
  <c r="AP20" i="1" s="1"/>
  <c r="AO48" i="1"/>
  <c r="AP48" i="1" s="1"/>
  <c r="AO58" i="1"/>
  <c r="AP58" i="1" s="1"/>
  <c r="AO81" i="1"/>
  <c r="AP81" i="1" s="1"/>
  <c r="AO105" i="1"/>
  <c r="AP105" i="1" s="1"/>
  <c r="AQ130" i="1"/>
  <c r="AO130" i="1"/>
  <c r="AP130" i="1" s="1"/>
  <c r="AO138" i="1"/>
  <c r="AP138" i="1" s="1"/>
  <c r="AQ138" i="1"/>
  <c r="AQ157" i="1"/>
  <c r="AO161" i="1"/>
  <c r="AP161" i="1" s="1"/>
  <c r="AQ174" i="1"/>
  <c r="AO174" i="1"/>
  <c r="AP174" i="1" s="1"/>
  <c r="AQ177" i="1"/>
  <c r="AO177" i="1"/>
  <c r="AP177" i="1" s="1"/>
  <c r="AQ185" i="1"/>
  <c r="AO185" i="1"/>
  <c r="AP185" i="1" s="1"/>
  <c r="AQ140" i="1"/>
  <c r="AO140" i="1"/>
  <c r="AP140" i="1" s="1"/>
  <c r="AO103" i="1"/>
  <c r="AP103" i="1" s="1"/>
  <c r="AO53" i="1"/>
  <c r="AP53" i="1" s="1"/>
  <c r="AO64" i="1"/>
  <c r="AP64" i="1" s="1"/>
  <c r="AO179" i="1"/>
  <c r="AP179" i="1" s="1"/>
  <c r="AO44" i="1"/>
  <c r="AP44" i="1" s="1"/>
  <c r="AO85" i="1"/>
  <c r="AP85" i="1" s="1"/>
  <c r="AO17" i="1"/>
  <c r="AP17" i="1" s="1"/>
  <c r="AO5" i="1"/>
  <c r="AP5" i="1" s="1"/>
  <c r="AO9" i="1"/>
  <c r="AP9" i="1" s="1"/>
  <c r="AQ38" i="1"/>
  <c r="AO38" i="1"/>
  <c r="AP38" i="1" s="1"/>
  <c r="AO55" i="1"/>
  <c r="AP55" i="1" s="1"/>
  <c r="AQ59" i="1"/>
  <c r="AO59" i="1"/>
  <c r="AP59" i="1" s="1"/>
  <c r="AQ86" i="1"/>
  <c r="AO86" i="1"/>
  <c r="AP86" i="1" s="1"/>
  <c r="AQ94" i="1"/>
  <c r="AO109" i="1"/>
  <c r="AP109" i="1" s="1"/>
  <c r="AQ113" i="1"/>
  <c r="AO113" i="1"/>
  <c r="AP113" i="1" s="1"/>
  <c r="AO28" i="1"/>
  <c r="AP28" i="1" s="1"/>
  <c r="AQ71" i="1"/>
  <c r="AO96" i="1"/>
  <c r="AP96" i="1" s="1"/>
  <c r="AO159" i="1"/>
  <c r="AP159" i="1" s="1"/>
  <c r="AQ104" i="1"/>
  <c r="AO104" i="1"/>
  <c r="AP104" i="1" s="1"/>
  <c r="AO183" i="1"/>
  <c r="AP183" i="1" s="1"/>
  <c r="AO88" i="1"/>
  <c r="AP88" i="1" s="1"/>
  <c r="AQ8" i="1"/>
  <c r="AO165" i="1"/>
  <c r="AP165" i="1" s="1"/>
  <c r="AQ165" i="1"/>
  <c r="AO173" i="1"/>
  <c r="AP173" i="1" s="1"/>
  <c r="AO24" i="1"/>
  <c r="AP24" i="1" s="1"/>
  <c r="AO74" i="1"/>
  <c r="AP74" i="1" s="1"/>
  <c r="AO95" i="1"/>
  <c r="AP95" i="1" s="1"/>
  <c r="AQ95" i="1"/>
  <c r="AQ162" i="1"/>
  <c r="AO162" i="1"/>
  <c r="AP162" i="1" s="1"/>
  <c r="AQ178" i="1"/>
  <c r="AO178" i="1"/>
  <c r="AP178" i="1" s="1"/>
  <c r="AO167" i="1"/>
  <c r="AP167" i="1" s="1"/>
  <c r="AO19" i="1"/>
  <c r="AP19" i="1" s="1"/>
  <c r="AQ19" i="1"/>
  <c r="AO32" i="1"/>
  <c r="AP32" i="1" s="1"/>
  <c r="AQ92" i="1"/>
  <c r="AO92" i="1"/>
  <c r="AP92" i="1" s="1"/>
  <c r="AO99" i="1"/>
  <c r="AP99" i="1" s="1"/>
  <c r="AO135" i="1"/>
  <c r="AP135" i="1" s="1"/>
  <c r="AO16" i="1"/>
  <c r="AP16" i="1" s="1"/>
  <c r="AO29" i="1"/>
  <c r="AP29" i="1" s="1"/>
  <c r="AO57" i="1"/>
  <c r="AP57" i="1" s="1"/>
  <c r="AO192" i="1"/>
  <c r="AP192" i="1" s="1"/>
  <c r="AO76" i="1"/>
  <c r="AP76" i="1" s="1"/>
  <c r="AO40" i="1"/>
  <c r="AP40" i="1" s="1"/>
  <c r="AO115" i="1"/>
  <c r="AP115" i="1" s="1"/>
  <c r="AO61" i="1"/>
  <c r="AP61" i="1" s="1"/>
  <c r="AO93" i="1"/>
  <c r="AP93" i="1" s="1"/>
  <c r="AQ137" i="1"/>
  <c r="AO137" i="1"/>
  <c r="AP137" i="1" s="1"/>
  <c r="AO176" i="1"/>
  <c r="AP176" i="1" s="1"/>
  <c r="AQ10" i="1"/>
  <c r="AO10" i="1"/>
  <c r="AP10" i="1" s="1"/>
  <c r="AO52" i="1"/>
  <c r="AP52" i="1" s="1"/>
  <c r="AQ78" i="1"/>
  <c r="AO125" i="1"/>
  <c r="AP125" i="1" s="1"/>
  <c r="AO157" i="1"/>
  <c r="AP157" i="1" s="1"/>
  <c r="AQ189" i="1"/>
  <c r="AO189" i="1"/>
  <c r="AP189" i="1" s="1"/>
  <c r="AO39" i="1"/>
  <c r="AP39" i="1" s="1"/>
  <c r="AO11" i="1"/>
  <c r="AP11" i="1" s="1"/>
  <c r="AQ194" i="1"/>
  <c r="AO7" i="1"/>
  <c r="AP7" i="1" s="1"/>
  <c r="AO36" i="1"/>
  <c r="AP36" i="1" s="1"/>
  <c r="AO60" i="1"/>
  <c r="AP60" i="1" s="1"/>
  <c r="AQ60" i="1"/>
  <c r="AO79" i="1"/>
  <c r="AP79" i="1" s="1"/>
  <c r="AO127" i="1"/>
  <c r="AP127" i="1" s="1"/>
  <c r="AO148" i="1"/>
  <c r="AP148" i="1" s="1"/>
  <c r="AO172" i="1"/>
  <c r="AP172" i="1" s="1"/>
  <c r="AQ132" i="1"/>
  <c r="AO33" i="1"/>
  <c r="AP33" i="1" s="1"/>
  <c r="AO80" i="1"/>
  <c r="AP80" i="1" s="1"/>
  <c r="AQ145" i="1"/>
  <c r="AO145" i="1"/>
  <c r="AP145" i="1" s="1"/>
  <c r="AO129" i="1"/>
  <c r="AP129" i="1" s="1"/>
  <c r="AQ129" i="1"/>
  <c r="AQ193" i="1"/>
  <c r="AO193" i="1"/>
  <c r="AP193" i="1" s="1"/>
  <c r="AQ14" i="1"/>
  <c r="AO14" i="1"/>
  <c r="AP14" i="1" s="1"/>
  <c r="AQ28" i="1"/>
  <c r="AQ42" i="1"/>
  <c r="AO42" i="1"/>
  <c r="AP42" i="1" s="1"/>
  <c r="AQ49" i="1"/>
  <c r="AO49" i="1"/>
  <c r="AP49" i="1" s="1"/>
  <c r="AQ63" i="1"/>
  <c r="AO63" i="1"/>
  <c r="AP63" i="1" s="1"/>
  <c r="AQ126" i="1"/>
  <c r="AO126" i="1"/>
  <c r="AP126" i="1" s="1"/>
  <c r="AQ131" i="1"/>
  <c r="AO131" i="1"/>
  <c r="AP131" i="1" s="1"/>
  <c r="AQ150" i="1"/>
  <c r="AQ158" i="1"/>
  <c r="AO158" i="1"/>
  <c r="AP158" i="1" s="1"/>
  <c r="AQ182" i="1"/>
  <c r="AO182" i="1"/>
  <c r="AP182" i="1" s="1"/>
  <c r="AO197" i="1"/>
  <c r="AP197" i="1" s="1"/>
  <c r="AO194" i="1"/>
  <c r="AP194" i="1" s="1"/>
  <c r="AO132" i="1"/>
  <c r="AP132" i="1" s="1"/>
  <c r="AO62" i="1"/>
  <c r="AP62" i="1" s="1"/>
  <c r="AO71" i="1"/>
  <c r="AP71" i="1" s="1"/>
  <c r="AO98" i="1"/>
  <c r="AP98" i="1" s="1"/>
  <c r="AQ114" i="1"/>
  <c r="AO116" i="1"/>
  <c r="AP116" i="1" s="1"/>
  <c r="AQ123" i="1"/>
  <c r="AO134" i="1"/>
  <c r="AP134" i="1" s="1"/>
  <c r="AO143" i="1"/>
  <c r="AP143" i="1" s="1"/>
  <c r="AO160" i="1" l="1"/>
  <c r="AP160" i="1" s="1"/>
  <c r="AO118" i="1"/>
  <c r="AP118" i="1" s="1"/>
  <c r="AQ171" i="1"/>
  <c r="AO121" i="1"/>
  <c r="AP121" i="1" s="1"/>
  <c r="AO51" i="1"/>
  <c r="AP51" i="1" s="1"/>
  <c r="AO186" i="1"/>
  <c r="AP186" i="1" s="1"/>
  <c r="AO70" i="1"/>
  <c r="AP70" i="1" s="1"/>
  <c r="AO117" i="1"/>
  <c r="AP117" i="1" s="1"/>
  <c r="AO84" i="1"/>
  <c r="AP84" i="1" s="1"/>
  <c r="AO175" i="1"/>
  <c r="AP175" i="1" s="1"/>
  <c r="AQ45" i="1"/>
  <c r="AQ75" i="1"/>
  <c r="AO139" i="1"/>
  <c r="AP139" i="1" s="1"/>
  <c r="AO124" i="1"/>
  <c r="AP124" i="1" s="1"/>
  <c r="AO54" i="1"/>
  <c r="AP54" i="1" s="1"/>
  <c r="AO41" i="1"/>
  <c r="AP41" i="1" s="1"/>
</calcChain>
</file>

<file path=xl/sharedStrings.xml><?xml version="1.0" encoding="utf-8"?>
<sst xmlns="http://schemas.openxmlformats.org/spreadsheetml/2006/main" count="55" uniqueCount="55">
  <si>
    <t>Municipio de Tuxtla Gutiérrez, Chiapas.</t>
  </si>
  <si>
    <t>Analítico de Ingresos por mes (Pesos a Precios corrientes)</t>
  </si>
  <si>
    <t>Mes</t>
  </si>
  <si>
    <t>Predial
 (1)</t>
  </si>
  <si>
    <t>Subsidio de predial
 (2)</t>
  </si>
  <si>
    <t>Traslación de dominio de bienes inmuebles
(3)</t>
  </si>
  <si>
    <t>Otros impuestos 
(4)</t>
  </si>
  <si>
    <t>Impuestos
(5)= (1+2+3+4)</t>
  </si>
  <si>
    <t>Derechos 
(6)</t>
  </si>
  <si>
    <t>Productos
(ingresos libre disposición)
(7)</t>
  </si>
  <si>
    <t>Aprovechamientos 
(8)</t>
  </si>
  <si>
    <t>Ingresos propios (9)=(5+6+7+8)</t>
  </si>
  <si>
    <t>ISR Participable
 (10)</t>
  </si>
  <si>
    <t>ISR derivado de la enajenación de bienes inmuebles 
(11)</t>
  </si>
  <si>
    <t>Fondo General de Participaciones 
(12)</t>
  </si>
  <si>
    <t>Fondo de Fomento Municipal
(13)</t>
  </si>
  <si>
    <t>Fondo de Fiscalización y Recaudación 
(14)</t>
  </si>
  <si>
    <t>Fondo de Compensación 
(15)</t>
  </si>
  <si>
    <t>Impuesto especial sobre Producción y Servicios 
(16)</t>
  </si>
  <si>
    <t>Participación del Impuesto a la venta final de Gasolinas y Diesel 
(17)</t>
  </si>
  <si>
    <t>Impuestos locales a la venta final de los Bienes Gravados con el Impuesto especial sobre Producción y Servicios 
(18)</t>
  </si>
  <si>
    <t>Fondo de Extracción de Hidrocarburos 
(19)</t>
  </si>
  <si>
    <t>Fondo de Estabilización de Entidades Federativas 
(20)</t>
  </si>
  <si>
    <t>Participaciones 
(21)=(12+13+14+15+16+17+18+19+20)</t>
  </si>
  <si>
    <t>Tenencia 
(22)</t>
  </si>
  <si>
    <t>Fondo de  Compensación ISAN 
(23)</t>
  </si>
  <si>
    <t>Impuesto sobre automóviles nuevos 
(24)</t>
  </si>
  <si>
    <t>Otros ingresos (Contribuciones de mejora)
(25)</t>
  </si>
  <si>
    <t>Incentivos derivados de la coordinación fiscal 
(26)=(22+23+24+25)</t>
  </si>
  <si>
    <t>Fondo de Infraestructura Social Municipal
(27)</t>
  </si>
  <si>
    <t>Fondo de Aportaciones para el Fortalecimiento Municipal 
(28)</t>
  </si>
  <si>
    <t>Otros subsidios y subvenciones 
(29)</t>
  </si>
  <si>
    <t>Aportaciones 
(30)=(27+28+29)</t>
  </si>
  <si>
    <t>Convenios 
(31)</t>
  </si>
  <si>
    <t>Productos
(ingresos etiquetados)
(32)</t>
  </si>
  <si>
    <t>Ingresos extraordinarios 
(33)</t>
  </si>
  <si>
    <t>Ingresos por gestión (sin productos etiquetados)
(34)=(9+10+11)</t>
  </si>
  <si>
    <t>Participaciones e incentivos de la Coordinación Fiscal (sin fondos ISR partipable e ISR de Enajenación de Bs Inmuebles)
(35)=(21+26)</t>
  </si>
  <si>
    <t>Rectificaciones 
(36)</t>
  </si>
  <si>
    <t>Total ingresos (37)=(30+31+32+33+34+35+36)</t>
  </si>
  <si>
    <t>Ingresos totales (s/extraordinarios y rectificaciones)
(38)=(37-36-33)</t>
  </si>
  <si>
    <t>Ingresos de libre disposición
(39)=(34+35)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</si>
  <si>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</si>
  <si>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</si>
  <si>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</si>
  <si>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</si>
  <si>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</si>
  <si>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</si>
  <si>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</si>
  <si>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</si>
  <si>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Sep 2023</t>
  </si>
  <si>
    <t>Oct 2023</t>
  </si>
  <si>
    <t>Nov 2023</t>
  </si>
  <si>
    <t>Dic 2023</t>
  </si>
  <si>
    <t>Ene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</si>
</sst>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&quot;$&quot;* #,##0.00_-;\-&quot;$&quot;* #,##0.00_-;_-&quot;$&quot;* &quot;-&quot;??_-;_-@_-"/>
    <numFmt numFmtId="164" formatCode="&quot;Ene&quot;\ yyyy"/>
    <numFmt numFmtId="165" formatCode="&quot;Feb&quot;\ yyyy"/>
    <numFmt numFmtId="166" formatCode="&quot;Mar&quot;\ yyyy"/>
    <numFmt numFmtId="167" formatCode="&quot;Abr&quot;\ yyyy"/>
    <numFmt numFmtId="168" formatCode="&quot;May&quot;\ yyyy"/>
    <numFmt numFmtId="169" formatCode="&quot;Jun&quot;\ yyyy"/>
    <numFmt numFmtId="170" formatCode="&quot;Jul&quot;\ yyyy"/>
    <numFmt numFmtId="171" formatCode="&quot;Ago&quot;\ yyyy"/>
    <numFmt numFmtId="172" formatCode="&quot;Sep&quot;\ yyyy"/>
    <numFmt numFmtId="173" formatCode="&quot;Oct&quot;\ yyyy"/>
    <numFmt numFmtId="174" formatCode="&quot;Nov&quot;\ yyyy"/>
    <numFmt numFmtId="175" formatCode="&quot;Dic&quot;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17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7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164" fontId="6" fillId="9" borderId="2" xfId="2" applyNumberFormat="1" applyFont="1" applyFill="1" applyBorder="1" applyAlignment="1">
      <alignment horizontal="right" vertical="center"/>
    </xf>
    <xf numFmtId="4" fontId="0" fillId="10" borderId="2" xfId="0" applyNumberFormat="1" applyFill="1" applyBorder="1" applyAlignment="1">
      <alignment horizontal="right" vertical="center"/>
    </xf>
    <xf numFmtId="4" fontId="0" fillId="10" borderId="0" xfId="0" applyNumberFormat="1" applyFill="1" applyAlignment="1">
      <alignment horizontal="right" vertical="center"/>
    </xf>
    <xf numFmtId="4" fontId="0" fillId="10" borderId="3" xfId="0" applyNumberFormat="1" applyFill="1" applyBorder="1" applyAlignment="1">
      <alignment horizontal="right" vertical="center"/>
    </xf>
    <xf numFmtId="4" fontId="0" fillId="10" borderId="4" xfId="0" applyNumberForma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" fontId="0" fillId="10" borderId="0" xfId="0" applyNumberFormat="1" applyFill="1" applyAlignment="1">
      <alignment vertical="center"/>
    </xf>
    <xf numFmtId="165" fontId="6" fillId="9" borderId="2" xfId="2" applyNumberFormat="1" applyFont="1" applyFill="1" applyBorder="1" applyAlignment="1">
      <alignment horizontal="right" vertical="center"/>
    </xf>
    <xf numFmtId="4" fontId="0" fillId="10" borderId="5" xfId="0" applyNumberFormat="1" applyFill="1" applyBorder="1" applyAlignment="1">
      <alignment horizontal="right" vertical="center"/>
    </xf>
    <xf numFmtId="166" fontId="6" fillId="9" borderId="2" xfId="2" applyNumberFormat="1" applyFont="1" applyFill="1" applyBorder="1" applyAlignment="1">
      <alignment horizontal="right" vertical="center"/>
    </xf>
    <xf numFmtId="167" fontId="6" fillId="9" borderId="2" xfId="2" applyNumberFormat="1" applyFont="1" applyFill="1" applyBorder="1" applyAlignment="1">
      <alignment horizontal="right" vertical="center"/>
    </xf>
    <xf numFmtId="168" fontId="6" fillId="9" borderId="2" xfId="2" applyNumberFormat="1" applyFont="1" applyFill="1" applyBorder="1" applyAlignment="1">
      <alignment horizontal="right" vertical="center"/>
    </xf>
    <xf numFmtId="169" fontId="6" fillId="9" borderId="2" xfId="2" applyNumberFormat="1" applyFont="1" applyFill="1" applyBorder="1" applyAlignment="1">
      <alignment horizontal="right" vertical="center"/>
    </xf>
    <xf numFmtId="170" fontId="6" fillId="9" borderId="2" xfId="2" applyNumberFormat="1" applyFont="1" applyFill="1" applyBorder="1" applyAlignment="1">
      <alignment horizontal="right" vertical="center"/>
    </xf>
    <xf numFmtId="171" fontId="6" fillId="9" borderId="2" xfId="2" applyNumberFormat="1" applyFont="1" applyFill="1" applyBorder="1" applyAlignment="1">
      <alignment horizontal="right" vertical="center"/>
    </xf>
    <xf numFmtId="172" fontId="6" fillId="9" borderId="2" xfId="2" applyNumberFormat="1" applyFont="1" applyFill="1" applyBorder="1" applyAlignment="1">
      <alignment horizontal="right" vertical="center"/>
    </xf>
    <xf numFmtId="173" fontId="6" fillId="9" borderId="2" xfId="2" applyNumberFormat="1" applyFont="1" applyFill="1" applyBorder="1" applyAlignment="1">
      <alignment horizontal="right" vertical="center"/>
    </xf>
    <xf numFmtId="174" fontId="6" fillId="9" borderId="2" xfId="2" applyNumberFormat="1" applyFont="1" applyFill="1" applyBorder="1" applyAlignment="1">
      <alignment horizontal="right" vertical="center"/>
    </xf>
    <xf numFmtId="175" fontId="6" fillId="9" borderId="2" xfId="2" applyNumberFormat="1" applyFont="1" applyFill="1" applyBorder="1" applyAlignment="1">
      <alignment horizontal="right" vertical="center"/>
    </xf>
    <xf numFmtId="4" fontId="0" fillId="0" borderId="0" xfId="0" applyNumberFormat="1"/>
    <xf numFmtId="4" fontId="0" fillId="10" borderId="0" xfId="0" applyNumberFormat="1" applyFill="1" applyAlignment="1">
      <alignment horizontal="right" vertical="center" wrapText="1"/>
    </xf>
    <xf numFmtId="4" fontId="0" fillId="11" borderId="2" xfId="0" applyNumberFormat="1" applyFill="1" applyBorder="1" applyAlignment="1">
      <alignment horizontal="right" vertical="center"/>
    </xf>
    <xf numFmtId="4" fontId="0" fillId="10" borderId="0" xfId="1" applyNumberFormat="1" applyFont="1" applyFill="1" applyAlignment="1">
      <alignment vertical="center"/>
    </xf>
    <xf numFmtId="49" fontId="6" fillId="9" borderId="2" xfId="2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3" fillId="0" borderId="0" xfId="0" applyNumberFormat="1" applyFont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197"/>
  <sheetViews>
    <sheetView showGridLines="0" tabSelected="1" zoomScaleNormal="100" workbookViewId="0">
      <pane xSplit="2" ySplit="4" topLeftCell="C187" activePane="bottomRight" state="frozen"/>
      <selection activeCell="D26" sqref="D26"/>
      <selection pane="topRight" activeCell="D26" sqref="D26"/>
      <selection pane="bottomLeft" activeCell="D26" sqref="D26"/>
      <selection pane="bottomRight" activeCell="B3" sqref="B3:F3"/>
    </sheetView>
  </sheetViews>
  <sheetFormatPr baseColWidth="10" defaultColWidth="10.7109375" defaultRowHeight="15" x14ac:dyDescent="0.25"/>
  <cols>
    <col min="1" max="1" width="1.7109375" style="2" customWidth="1"/>
    <col min="2" max="2" width="12.28515625" style="1" bestFit="1" customWidth="1"/>
    <col min="3" max="35" width="20.7109375" style="2" customWidth="1"/>
    <col min="36" max="36" width="1.7109375" style="2" customWidth="1"/>
    <col min="37" max="37" width="20.7109375" style="2" customWidth="1"/>
    <col min="38" max="38" width="25.140625" style="2" bestFit="1" customWidth="1"/>
    <col min="39" max="39" width="20.7109375" style="2" customWidth="1"/>
    <col min="40" max="40" width="1.7109375" style="2" customWidth="1"/>
    <col min="41" max="41" width="20.7109375" style="2" customWidth="1"/>
    <col min="42" max="42" width="17.140625" style="2" bestFit="1" customWidth="1"/>
    <col min="43" max="43" width="20.42578125" style="2" bestFit="1" customWidth="1"/>
    <col min="44" max="44" width="1.7109375" style="2" customWidth="1"/>
    <col min="45" max="45" width="16" style="2" bestFit="1" customWidth="1"/>
    <col min="46" max="46" width="13.28515625" style="2" bestFit="1" customWidth="1"/>
    <col min="47" max="47" width="12.28515625" style="2" bestFit="1" customWidth="1"/>
    <col min="48" max="48" width="10.7109375" style="2" bestFit="1" customWidth="1"/>
    <col min="49" max="49" width="13.5703125" style="2" bestFit="1" customWidth="1"/>
    <col min="50" max="50" width="13.28515625" style="2" bestFit="1" customWidth="1"/>
    <col min="51" max="16384" width="10.7109375" style="2"/>
  </cols>
  <sheetData>
    <row r="1" spans="2:50" ht="18" customHeight="1" x14ac:dyDescent="0.25"/>
    <row r="2" spans="2:50" ht="18.75" x14ac:dyDescent="0.25">
      <c r="B2" s="39" t="s">
        <v>0</v>
      </c>
      <c r="C2" s="39"/>
      <c r="D2" s="39"/>
      <c r="E2" s="39"/>
      <c r="F2" s="39"/>
    </row>
    <row r="3" spans="2:50" ht="15.75" x14ac:dyDescent="0.25">
      <c r="B3" s="40" t="s">
        <v>1</v>
      </c>
      <c r="C3" s="40"/>
      <c r="D3" s="40"/>
      <c r="E3" s="40"/>
      <c r="F3" s="40"/>
    </row>
    <row r="4" spans="2:50" s="12" customFormat="1" ht="105" x14ac:dyDescent="0.25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6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6" t="s">
        <v>28</v>
      </c>
      <c r="AC4" s="8" t="s">
        <v>29</v>
      </c>
      <c r="AD4" s="8" t="s">
        <v>30</v>
      </c>
      <c r="AE4" s="8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9"/>
      <c r="AK4" s="10" t="s">
        <v>36</v>
      </c>
      <c r="AL4" s="10" t="s">
        <v>37</v>
      </c>
      <c r="AM4" s="10" t="s">
        <v>38</v>
      </c>
      <c r="AN4" s="9"/>
      <c r="AO4" s="11" t="s">
        <v>39</v>
      </c>
      <c r="AP4" s="11" t="s">
        <v>40</v>
      </c>
      <c r="AQ4" s="11" t="s">
        <v>41</v>
      </c>
      <c r="AX4" s="13"/>
    </row>
    <row r="5" spans="2:50" s="20" customFormat="1" x14ac:dyDescent="0.25">
      <c r="B5" s="14">
        <v>39448</v>
      </c>
      <c r="C5" s="15">
        <v>30207194.07</v>
      </c>
      <c r="D5" s="15">
        <v>0</v>
      </c>
      <c r="E5" s="15">
        <v>1276372</v>
      </c>
      <c r="F5" s="15">
        <v>129172.15000000001</v>
      </c>
      <c r="G5" s="15">
        <f>SUM(C5:F5)</f>
        <v>31612738.219999999</v>
      </c>
      <c r="H5" s="15">
        <v>4561537.87</v>
      </c>
      <c r="I5" s="15">
        <v>247871.53</v>
      </c>
      <c r="J5" s="15">
        <v>1700363.07</v>
      </c>
      <c r="K5" s="15">
        <f>SUM(G5:J5)</f>
        <v>38122510.689999998</v>
      </c>
      <c r="L5" s="15">
        <v>0</v>
      </c>
      <c r="M5" s="15">
        <v>0</v>
      </c>
      <c r="N5" s="15">
        <v>62082332.329999998</v>
      </c>
      <c r="O5" s="15">
        <v>4507636.26</v>
      </c>
      <c r="P5" s="15">
        <v>0</v>
      </c>
      <c r="Q5" s="15">
        <v>0</v>
      </c>
      <c r="R5" s="15">
        <v>265674.28999999998</v>
      </c>
      <c r="S5" s="15">
        <v>0</v>
      </c>
      <c r="T5" s="15">
        <v>0</v>
      </c>
      <c r="U5" s="15">
        <v>0</v>
      </c>
      <c r="V5" s="15">
        <v>0</v>
      </c>
      <c r="W5" s="15">
        <f>SUM(N5:V5)</f>
        <v>66855642.879999995</v>
      </c>
      <c r="X5" s="15">
        <v>585401.39</v>
      </c>
      <c r="Y5" s="15">
        <v>0</v>
      </c>
      <c r="Z5" s="15">
        <v>321860.71000000002</v>
      </c>
      <c r="AA5" s="15">
        <v>0</v>
      </c>
      <c r="AB5" s="15">
        <f>SUM(X5:AA5)</f>
        <v>907262.10000000009</v>
      </c>
      <c r="AC5" s="15">
        <v>0</v>
      </c>
      <c r="AD5" s="15">
        <v>0</v>
      </c>
      <c r="AE5" s="15">
        <v>0</v>
      </c>
      <c r="AF5" s="15">
        <f>SUM(AC5:AE5)</f>
        <v>0</v>
      </c>
      <c r="AG5" s="15">
        <v>0</v>
      </c>
      <c r="AH5" s="15"/>
      <c r="AI5" s="15">
        <v>0</v>
      </c>
      <c r="AJ5" s="16"/>
      <c r="AK5" s="15">
        <f>K5+L5+M5</f>
        <v>38122510.689999998</v>
      </c>
      <c r="AL5" s="17">
        <f>W5+AB5</f>
        <v>67762904.979999989</v>
      </c>
      <c r="AM5" s="18">
        <v>-6683888.5199999996</v>
      </c>
      <c r="AN5" s="19"/>
      <c r="AO5" s="15">
        <f>AF5+AG5+AH5+AI5+AK5+AL5+AM5</f>
        <v>99201527.149999991</v>
      </c>
      <c r="AP5" s="15">
        <f>AO5-AM5-AI5</f>
        <v>105885415.66999999</v>
      </c>
      <c r="AQ5" s="15">
        <f>AK5+AL5</f>
        <v>105885415.66999999</v>
      </c>
    </row>
    <row r="6" spans="2:50" s="20" customFormat="1" x14ac:dyDescent="0.25">
      <c r="B6" s="21">
        <v>39479</v>
      </c>
      <c r="C6" s="15">
        <v>4638615.78</v>
      </c>
      <c r="D6" s="15">
        <v>0</v>
      </c>
      <c r="E6" s="15">
        <v>2027710</v>
      </c>
      <c r="F6" s="15">
        <v>188115.48</v>
      </c>
      <c r="G6" s="15">
        <f t="shared" ref="G6:G69" si="0">SUM(C6:F6)</f>
        <v>6854441.2600000007</v>
      </c>
      <c r="H6" s="15">
        <v>4090785.18</v>
      </c>
      <c r="I6" s="15">
        <v>268178.45</v>
      </c>
      <c r="J6" s="15">
        <v>1781690.86</v>
      </c>
      <c r="K6" s="15">
        <f t="shared" ref="K6:K69" si="1">SUM(G6:J6)</f>
        <v>12995095.75</v>
      </c>
      <c r="L6" s="15">
        <v>0</v>
      </c>
      <c r="M6" s="15">
        <v>0</v>
      </c>
      <c r="N6" s="15">
        <v>34749159.689999998</v>
      </c>
      <c r="O6" s="15">
        <v>3788698.65</v>
      </c>
      <c r="P6" s="15">
        <v>0</v>
      </c>
      <c r="Q6" s="15">
        <v>0</v>
      </c>
      <c r="R6" s="15">
        <v>370909.59</v>
      </c>
      <c r="S6" s="15">
        <v>0</v>
      </c>
      <c r="T6" s="15">
        <v>0</v>
      </c>
      <c r="U6" s="15">
        <v>0</v>
      </c>
      <c r="V6" s="15">
        <v>0</v>
      </c>
      <c r="W6" s="15">
        <f t="shared" ref="W6:W69" si="2">SUM(N6:V6)</f>
        <v>38908767.93</v>
      </c>
      <c r="X6" s="15">
        <v>3031958.96</v>
      </c>
      <c r="Y6" s="15">
        <v>0</v>
      </c>
      <c r="Z6" s="15">
        <v>531180.97</v>
      </c>
      <c r="AA6" s="15">
        <v>0</v>
      </c>
      <c r="AB6" s="15">
        <f t="shared" ref="AB6:AB69" si="3">SUM(X6:AA6)</f>
        <v>3563139.9299999997</v>
      </c>
      <c r="AC6" s="15">
        <v>8987415.9000000004</v>
      </c>
      <c r="AD6" s="15">
        <v>16005788.890000001</v>
      </c>
      <c r="AE6" s="15">
        <v>0</v>
      </c>
      <c r="AF6" s="15">
        <f t="shared" ref="AF6:AF69" si="4">SUM(AC6:AE6)</f>
        <v>24993204.789999999</v>
      </c>
      <c r="AG6" s="15">
        <v>0</v>
      </c>
      <c r="AH6" s="15"/>
      <c r="AI6" s="15">
        <v>0</v>
      </c>
      <c r="AJ6" s="16"/>
      <c r="AK6" s="15">
        <f t="shared" ref="AK6:AK69" si="5">K6+L6+M6</f>
        <v>12995095.75</v>
      </c>
      <c r="AL6" s="17">
        <f t="shared" ref="AL6:AL69" si="6">W6+AB6</f>
        <v>42471907.859999999</v>
      </c>
      <c r="AM6" s="22">
        <v>49799.64</v>
      </c>
      <c r="AN6" s="19"/>
      <c r="AO6" s="15">
        <f t="shared" ref="AO6:AO69" si="7">AF6+AG6+AH6+AI6+AK6+AL6+AM6</f>
        <v>80510008.040000007</v>
      </c>
      <c r="AP6" s="15">
        <f t="shared" ref="AP6:AP69" si="8">AO6-AM6-AI6</f>
        <v>80460208.400000006</v>
      </c>
      <c r="AQ6" s="15">
        <f t="shared" ref="AQ6:AQ69" si="9">AK6+AL6</f>
        <v>55467003.609999999</v>
      </c>
    </row>
    <row r="7" spans="2:50" s="20" customFormat="1" x14ac:dyDescent="0.25">
      <c r="B7" s="23">
        <v>39508</v>
      </c>
      <c r="C7" s="15">
        <v>3694418.41</v>
      </c>
      <c r="D7" s="15">
        <v>0</v>
      </c>
      <c r="E7" s="15">
        <v>1680649</v>
      </c>
      <c r="F7" s="15">
        <v>205736.09</v>
      </c>
      <c r="G7" s="15">
        <f t="shared" si="0"/>
        <v>5580803.5</v>
      </c>
      <c r="H7" s="15">
        <v>12073409.77</v>
      </c>
      <c r="I7" s="15">
        <v>1162561.92</v>
      </c>
      <c r="J7" s="15">
        <v>1567572.39</v>
      </c>
      <c r="K7" s="15">
        <f t="shared" si="1"/>
        <v>20384347.579999998</v>
      </c>
      <c r="L7" s="15">
        <v>0</v>
      </c>
      <c r="M7" s="15">
        <v>0</v>
      </c>
      <c r="N7" s="15">
        <v>24985380.210000001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f t="shared" si="2"/>
        <v>24985380.210000001</v>
      </c>
      <c r="X7" s="15">
        <v>1167851.81</v>
      </c>
      <c r="Y7" s="15">
        <v>0</v>
      </c>
      <c r="Z7" s="15">
        <v>331662.13</v>
      </c>
      <c r="AA7" s="15">
        <v>0</v>
      </c>
      <c r="AB7" s="15">
        <f t="shared" si="3"/>
        <v>1499513.94</v>
      </c>
      <c r="AC7" s="15">
        <v>8987415.9000000004</v>
      </c>
      <c r="AD7" s="15">
        <v>16005589.17</v>
      </c>
      <c r="AE7" s="15">
        <v>0</v>
      </c>
      <c r="AF7" s="15">
        <f t="shared" si="4"/>
        <v>24993005.07</v>
      </c>
      <c r="AG7" s="15">
        <v>0</v>
      </c>
      <c r="AH7" s="15"/>
      <c r="AI7" s="15">
        <v>0</v>
      </c>
      <c r="AJ7" s="16"/>
      <c r="AK7" s="15">
        <f t="shared" si="5"/>
        <v>20384347.579999998</v>
      </c>
      <c r="AL7" s="17">
        <f t="shared" si="6"/>
        <v>26484894.150000002</v>
      </c>
      <c r="AM7" s="22">
        <v>-0.54</v>
      </c>
      <c r="AN7" s="19"/>
      <c r="AO7" s="15">
        <f t="shared" si="7"/>
        <v>71862246.25999999</v>
      </c>
      <c r="AP7" s="15">
        <f t="shared" si="8"/>
        <v>71862246.799999997</v>
      </c>
      <c r="AQ7" s="15">
        <f t="shared" si="9"/>
        <v>46869241.730000004</v>
      </c>
    </row>
    <row r="8" spans="2:50" s="20" customFormat="1" x14ac:dyDescent="0.25">
      <c r="B8" s="24">
        <v>39539</v>
      </c>
      <c r="C8" s="15">
        <v>1692108.61</v>
      </c>
      <c r="D8" s="15">
        <v>0</v>
      </c>
      <c r="E8" s="15">
        <v>1926816</v>
      </c>
      <c r="F8" s="15">
        <v>252563.47999999998</v>
      </c>
      <c r="G8" s="15">
        <f t="shared" si="0"/>
        <v>3871488.0900000003</v>
      </c>
      <c r="H8" s="15">
        <v>3595964.21</v>
      </c>
      <c r="I8" s="15">
        <v>252853.95</v>
      </c>
      <c r="J8" s="15">
        <v>1594375.25</v>
      </c>
      <c r="K8" s="15">
        <f t="shared" si="1"/>
        <v>9314681.5</v>
      </c>
      <c r="L8" s="15">
        <v>0</v>
      </c>
      <c r="M8" s="15">
        <v>0</v>
      </c>
      <c r="N8" s="15">
        <v>51240044.549999997</v>
      </c>
      <c r="O8" s="15">
        <v>10395083.529999999</v>
      </c>
      <c r="P8" s="15">
        <v>0</v>
      </c>
      <c r="Q8" s="15">
        <v>0</v>
      </c>
      <c r="R8" s="15">
        <v>523163.42</v>
      </c>
      <c r="S8" s="15">
        <v>0</v>
      </c>
      <c r="T8" s="15">
        <v>0</v>
      </c>
      <c r="U8" s="15">
        <v>0</v>
      </c>
      <c r="V8" s="15">
        <v>0</v>
      </c>
      <c r="W8" s="15">
        <f t="shared" si="2"/>
        <v>62158291.5</v>
      </c>
      <c r="X8" s="15">
        <v>1948757.48</v>
      </c>
      <c r="Y8" s="15">
        <v>0</v>
      </c>
      <c r="Z8" s="15">
        <v>284521.67</v>
      </c>
      <c r="AA8" s="15">
        <v>0</v>
      </c>
      <c r="AB8" s="15">
        <f t="shared" si="3"/>
        <v>2233279.15</v>
      </c>
      <c r="AC8" s="15">
        <v>8987415.9000000004</v>
      </c>
      <c r="AD8" s="15">
        <v>16005589.17</v>
      </c>
      <c r="AE8" s="15">
        <v>0</v>
      </c>
      <c r="AF8" s="15">
        <f t="shared" si="4"/>
        <v>24993005.07</v>
      </c>
      <c r="AG8" s="15">
        <v>0</v>
      </c>
      <c r="AH8" s="15"/>
      <c r="AI8" s="15">
        <v>0</v>
      </c>
      <c r="AJ8" s="16"/>
      <c r="AK8" s="15">
        <f t="shared" si="5"/>
        <v>9314681.5</v>
      </c>
      <c r="AL8" s="17">
        <f t="shared" si="6"/>
        <v>64391570.649999999</v>
      </c>
      <c r="AM8" s="22">
        <v>1076509.82</v>
      </c>
      <c r="AN8" s="19"/>
      <c r="AO8" s="15">
        <f t="shared" si="7"/>
        <v>99775767.039999992</v>
      </c>
      <c r="AP8" s="15">
        <f t="shared" si="8"/>
        <v>98699257.219999999</v>
      </c>
      <c r="AQ8" s="15">
        <f t="shared" si="9"/>
        <v>73706252.150000006</v>
      </c>
    </row>
    <row r="9" spans="2:50" s="20" customFormat="1" x14ac:dyDescent="0.25">
      <c r="B9" s="25">
        <v>39569</v>
      </c>
      <c r="C9" s="15">
        <v>1198141.79</v>
      </c>
      <c r="D9" s="15">
        <v>0</v>
      </c>
      <c r="E9" s="15">
        <v>2115911</v>
      </c>
      <c r="F9" s="15">
        <v>586973.59000000008</v>
      </c>
      <c r="G9" s="15">
        <f t="shared" si="0"/>
        <v>3901026.38</v>
      </c>
      <c r="H9" s="15">
        <v>3029906.02</v>
      </c>
      <c r="I9" s="15">
        <v>12112644.23</v>
      </c>
      <c r="J9" s="15">
        <v>1511804.43</v>
      </c>
      <c r="K9" s="15">
        <f t="shared" si="1"/>
        <v>20555381.060000002</v>
      </c>
      <c r="L9" s="15">
        <v>0</v>
      </c>
      <c r="M9" s="15">
        <v>0</v>
      </c>
      <c r="N9" s="15">
        <v>35535350.780000001</v>
      </c>
      <c r="O9" s="15">
        <v>4104737.15</v>
      </c>
      <c r="P9" s="15">
        <v>0</v>
      </c>
      <c r="Q9" s="15">
        <v>0</v>
      </c>
      <c r="R9" s="15">
        <v>315024.53999999998</v>
      </c>
      <c r="S9" s="15">
        <v>0</v>
      </c>
      <c r="T9" s="15">
        <v>0</v>
      </c>
      <c r="U9" s="15">
        <v>0</v>
      </c>
      <c r="V9" s="15">
        <v>0</v>
      </c>
      <c r="W9" s="15">
        <f t="shared" si="2"/>
        <v>39955112.469999999</v>
      </c>
      <c r="X9" s="15">
        <v>1090233.04</v>
      </c>
      <c r="Y9" s="15">
        <v>0</v>
      </c>
      <c r="Z9" s="15">
        <v>254755.05</v>
      </c>
      <c r="AA9" s="15">
        <v>0</v>
      </c>
      <c r="AB9" s="15">
        <f t="shared" si="3"/>
        <v>1344988.09</v>
      </c>
      <c r="AC9" s="15">
        <v>8987415.9000000004</v>
      </c>
      <c r="AD9" s="15">
        <v>16005589.17</v>
      </c>
      <c r="AE9" s="15">
        <v>14305615.52</v>
      </c>
      <c r="AF9" s="15">
        <f t="shared" si="4"/>
        <v>39298620.590000004</v>
      </c>
      <c r="AG9" s="15">
        <v>0</v>
      </c>
      <c r="AH9" s="15"/>
      <c r="AI9" s="15">
        <v>0</v>
      </c>
      <c r="AJ9" s="16"/>
      <c r="AK9" s="15">
        <f t="shared" si="5"/>
        <v>20555381.060000002</v>
      </c>
      <c r="AL9" s="17">
        <f t="shared" si="6"/>
        <v>41300100.560000002</v>
      </c>
      <c r="AM9" s="22">
        <v>573331.73</v>
      </c>
      <c r="AN9" s="19"/>
      <c r="AO9" s="15">
        <f t="shared" si="7"/>
        <v>101727433.94000001</v>
      </c>
      <c r="AP9" s="15">
        <f t="shared" si="8"/>
        <v>101154102.21000001</v>
      </c>
      <c r="AQ9" s="15">
        <f t="shared" si="9"/>
        <v>61855481.620000005</v>
      </c>
    </row>
    <row r="10" spans="2:50" s="20" customFormat="1" x14ac:dyDescent="0.25">
      <c r="B10" s="26">
        <v>39600</v>
      </c>
      <c r="C10" s="15">
        <v>963599.65</v>
      </c>
      <c r="D10" s="15">
        <v>0</v>
      </c>
      <c r="E10" s="15">
        <v>2192588</v>
      </c>
      <c r="F10" s="15">
        <v>231920.56000000006</v>
      </c>
      <c r="G10" s="15">
        <f t="shared" si="0"/>
        <v>3388108.21</v>
      </c>
      <c r="H10" s="15">
        <v>4391073.7699999996</v>
      </c>
      <c r="I10" s="15">
        <v>467393.81</v>
      </c>
      <c r="J10" s="15">
        <v>1760271.41</v>
      </c>
      <c r="K10" s="15">
        <f t="shared" si="1"/>
        <v>10006847.199999999</v>
      </c>
      <c r="L10" s="15">
        <v>0</v>
      </c>
      <c r="M10" s="15">
        <v>0</v>
      </c>
      <c r="N10" s="15">
        <v>43945978.810000002</v>
      </c>
      <c r="O10" s="15">
        <v>3335920.11</v>
      </c>
      <c r="P10" s="15">
        <v>0</v>
      </c>
      <c r="Q10" s="15">
        <v>0</v>
      </c>
      <c r="R10" s="15">
        <v>399235.09</v>
      </c>
      <c r="S10" s="15">
        <v>0</v>
      </c>
      <c r="T10" s="15">
        <v>0</v>
      </c>
      <c r="U10" s="15">
        <v>0</v>
      </c>
      <c r="V10" s="15">
        <v>0</v>
      </c>
      <c r="W10" s="15">
        <f t="shared" si="2"/>
        <v>47681134.010000005</v>
      </c>
      <c r="X10" s="15">
        <v>624057.68000000005</v>
      </c>
      <c r="Y10" s="15">
        <v>0</v>
      </c>
      <c r="Z10" s="15">
        <v>322375.92</v>
      </c>
      <c r="AA10" s="15">
        <v>0</v>
      </c>
      <c r="AB10" s="15">
        <f t="shared" si="3"/>
        <v>946433.60000000009</v>
      </c>
      <c r="AC10" s="15">
        <v>8987415.9000000004</v>
      </c>
      <c r="AD10" s="15">
        <v>16005589.17</v>
      </c>
      <c r="AE10" s="15">
        <v>0</v>
      </c>
      <c r="AF10" s="15">
        <f t="shared" si="4"/>
        <v>24993005.07</v>
      </c>
      <c r="AG10" s="15">
        <v>0</v>
      </c>
      <c r="AH10" s="15"/>
      <c r="AI10" s="15">
        <v>0</v>
      </c>
      <c r="AJ10" s="16"/>
      <c r="AK10" s="15">
        <f t="shared" si="5"/>
        <v>10006847.199999999</v>
      </c>
      <c r="AL10" s="17">
        <f t="shared" si="6"/>
        <v>48627567.610000007</v>
      </c>
      <c r="AM10" s="22">
        <v>0</v>
      </c>
      <c r="AN10" s="19"/>
      <c r="AO10" s="15">
        <f t="shared" si="7"/>
        <v>83627419.879999995</v>
      </c>
      <c r="AP10" s="15">
        <f t="shared" si="8"/>
        <v>83627419.879999995</v>
      </c>
      <c r="AQ10" s="15">
        <f t="shared" si="9"/>
        <v>58634414.810000002</v>
      </c>
    </row>
    <row r="11" spans="2:50" s="20" customFormat="1" x14ac:dyDescent="0.25">
      <c r="B11" s="27">
        <v>39630</v>
      </c>
      <c r="C11" s="15">
        <v>1370280.1</v>
      </c>
      <c r="D11" s="15">
        <v>0</v>
      </c>
      <c r="E11" s="15">
        <v>2646307.14</v>
      </c>
      <c r="F11" s="15">
        <v>119492.34999999999</v>
      </c>
      <c r="G11" s="15">
        <f t="shared" si="0"/>
        <v>4136079.5900000003</v>
      </c>
      <c r="H11" s="15">
        <v>3195190.77</v>
      </c>
      <c r="I11" s="15">
        <v>1710025.76</v>
      </c>
      <c r="J11" s="15">
        <v>1688121.38</v>
      </c>
      <c r="K11" s="15">
        <f t="shared" si="1"/>
        <v>10729417.5</v>
      </c>
      <c r="L11" s="15">
        <v>0</v>
      </c>
      <c r="M11" s="15">
        <v>0</v>
      </c>
      <c r="N11" s="15">
        <v>48416594.93</v>
      </c>
      <c r="O11" s="15">
        <v>5310696.8899999997</v>
      </c>
      <c r="P11" s="15">
        <v>0</v>
      </c>
      <c r="Q11" s="15">
        <v>0</v>
      </c>
      <c r="R11" s="15">
        <v>993208.9</v>
      </c>
      <c r="S11" s="15">
        <v>0</v>
      </c>
      <c r="T11" s="15">
        <v>0</v>
      </c>
      <c r="U11" s="15">
        <v>0</v>
      </c>
      <c r="V11" s="15">
        <v>0</v>
      </c>
      <c r="W11" s="15">
        <f t="shared" si="2"/>
        <v>54720500.719999999</v>
      </c>
      <c r="X11" s="15">
        <v>723000.77</v>
      </c>
      <c r="Y11" s="15">
        <v>0</v>
      </c>
      <c r="Z11" s="15">
        <v>217005.68</v>
      </c>
      <c r="AA11" s="15">
        <v>0</v>
      </c>
      <c r="AB11" s="15">
        <f t="shared" si="3"/>
        <v>940006.45</v>
      </c>
      <c r="AC11" s="15">
        <v>8987415.9000000004</v>
      </c>
      <c r="AD11" s="15">
        <v>16005589.17</v>
      </c>
      <c r="AE11" s="15">
        <v>22371761.899999999</v>
      </c>
      <c r="AF11" s="15">
        <f t="shared" si="4"/>
        <v>47364766.969999999</v>
      </c>
      <c r="AG11" s="15">
        <v>0</v>
      </c>
      <c r="AH11" s="15"/>
      <c r="AI11" s="15">
        <v>21550650.5</v>
      </c>
      <c r="AJ11" s="16"/>
      <c r="AK11" s="15">
        <f t="shared" si="5"/>
        <v>10729417.5</v>
      </c>
      <c r="AL11" s="17">
        <f t="shared" si="6"/>
        <v>55660507.170000002</v>
      </c>
      <c r="AM11" s="22">
        <v>-6497.5</v>
      </c>
      <c r="AN11" s="19"/>
      <c r="AO11" s="15">
        <f t="shared" si="7"/>
        <v>135298844.63999999</v>
      </c>
      <c r="AP11" s="15">
        <f t="shared" si="8"/>
        <v>113754691.63999999</v>
      </c>
      <c r="AQ11" s="15">
        <f t="shared" si="9"/>
        <v>66389924.670000002</v>
      </c>
    </row>
    <row r="12" spans="2:50" s="20" customFormat="1" x14ac:dyDescent="0.25">
      <c r="B12" s="28">
        <v>39661</v>
      </c>
      <c r="C12" s="15">
        <v>1165589.8700000001</v>
      </c>
      <c r="D12" s="15">
        <v>0</v>
      </c>
      <c r="E12" s="15">
        <v>1962816</v>
      </c>
      <c r="F12" s="15">
        <v>171335.88</v>
      </c>
      <c r="G12" s="15">
        <f t="shared" si="0"/>
        <v>3299741.75</v>
      </c>
      <c r="H12" s="15">
        <v>2730317.68</v>
      </c>
      <c r="I12" s="15">
        <v>2614596.94</v>
      </c>
      <c r="J12" s="15">
        <v>1839825.62</v>
      </c>
      <c r="K12" s="15">
        <f t="shared" si="1"/>
        <v>10484481.989999998</v>
      </c>
      <c r="L12" s="15">
        <v>0</v>
      </c>
      <c r="M12" s="15">
        <v>0</v>
      </c>
      <c r="N12" s="15">
        <v>39175451.079999998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f t="shared" si="2"/>
        <v>39175451.079999998</v>
      </c>
      <c r="X12" s="15">
        <v>567949.99</v>
      </c>
      <c r="Y12" s="15">
        <v>0</v>
      </c>
      <c r="Z12" s="15">
        <v>244636.03</v>
      </c>
      <c r="AA12" s="15">
        <v>0</v>
      </c>
      <c r="AB12" s="15">
        <f t="shared" si="3"/>
        <v>812586.02</v>
      </c>
      <c r="AC12" s="15">
        <v>8987415.9000000004</v>
      </c>
      <c r="AD12" s="15">
        <v>16005589.17</v>
      </c>
      <c r="AE12" s="15">
        <v>37822692.340000004</v>
      </c>
      <c r="AF12" s="15">
        <f t="shared" si="4"/>
        <v>62815697.410000004</v>
      </c>
      <c r="AG12" s="15">
        <v>0</v>
      </c>
      <c r="AH12" s="15"/>
      <c r="AI12" s="15">
        <v>3633904.9</v>
      </c>
      <c r="AJ12" s="16"/>
      <c r="AK12" s="15">
        <f t="shared" si="5"/>
        <v>10484481.989999998</v>
      </c>
      <c r="AL12" s="17">
        <f t="shared" si="6"/>
        <v>39988037.100000001</v>
      </c>
      <c r="AM12" s="22">
        <v>0</v>
      </c>
      <c r="AN12" s="19"/>
      <c r="AO12" s="15">
        <f t="shared" si="7"/>
        <v>116922121.40000001</v>
      </c>
      <c r="AP12" s="15">
        <f t="shared" si="8"/>
        <v>113288216.5</v>
      </c>
      <c r="AQ12" s="15">
        <f t="shared" si="9"/>
        <v>50472519.090000004</v>
      </c>
    </row>
    <row r="13" spans="2:50" s="20" customFormat="1" x14ac:dyDescent="0.25">
      <c r="B13" s="29">
        <v>39692</v>
      </c>
      <c r="C13" s="15">
        <v>1196043.24</v>
      </c>
      <c r="D13" s="15">
        <v>0</v>
      </c>
      <c r="E13" s="15">
        <v>1790247</v>
      </c>
      <c r="F13" s="15">
        <v>397560.35000000003</v>
      </c>
      <c r="G13" s="15">
        <f t="shared" si="0"/>
        <v>3383850.5900000003</v>
      </c>
      <c r="H13" s="15">
        <v>2718597.37</v>
      </c>
      <c r="I13" s="15">
        <v>1862312.81</v>
      </c>
      <c r="J13" s="15">
        <v>1455946.81</v>
      </c>
      <c r="K13" s="15">
        <f t="shared" si="1"/>
        <v>9420707.5800000019</v>
      </c>
      <c r="L13" s="15">
        <v>0</v>
      </c>
      <c r="M13" s="15">
        <v>0</v>
      </c>
      <c r="N13" s="15">
        <v>34588417.659999996</v>
      </c>
      <c r="O13" s="15">
        <v>7211071.9500000002</v>
      </c>
      <c r="P13" s="15">
        <v>0</v>
      </c>
      <c r="Q13" s="15">
        <v>0</v>
      </c>
      <c r="R13" s="15">
        <v>722239.4</v>
      </c>
      <c r="S13" s="15">
        <v>0</v>
      </c>
      <c r="T13" s="15">
        <v>0</v>
      </c>
      <c r="U13" s="15">
        <v>0</v>
      </c>
      <c r="V13" s="15">
        <v>0</v>
      </c>
      <c r="W13" s="15">
        <f t="shared" si="2"/>
        <v>42521729.009999998</v>
      </c>
      <c r="X13" s="15">
        <v>332241.13</v>
      </c>
      <c r="Y13" s="15">
        <v>0</v>
      </c>
      <c r="Z13" s="15">
        <v>251533.85</v>
      </c>
      <c r="AA13" s="15">
        <v>0</v>
      </c>
      <c r="AB13" s="15">
        <f t="shared" si="3"/>
        <v>583774.98</v>
      </c>
      <c r="AC13" s="15">
        <v>6764291.8899999997</v>
      </c>
      <c r="AD13" s="15">
        <v>16005589.17</v>
      </c>
      <c r="AE13" s="15">
        <v>23541040.219999999</v>
      </c>
      <c r="AF13" s="15">
        <f t="shared" si="4"/>
        <v>46310921.280000001</v>
      </c>
      <c r="AG13" s="15">
        <v>0</v>
      </c>
      <c r="AH13" s="15"/>
      <c r="AI13" s="15">
        <v>3755918</v>
      </c>
      <c r="AJ13" s="16"/>
      <c r="AK13" s="15">
        <f t="shared" si="5"/>
        <v>9420707.5800000019</v>
      </c>
      <c r="AL13" s="17">
        <f t="shared" si="6"/>
        <v>43105503.989999995</v>
      </c>
      <c r="AM13" s="22">
        <v>-3456</v>
      </c>
      <c r="AN13" s="19"/>
      <c r="AO13" s="15">
        <f t="shared" si="7"/>
        <v>102589594.84999999</v>
      </c>
      <c r="AP13" s="15">
        <f t="shared" si="8"/>
        <v>98837132.849999994</v>
      </c>
      <c r="AQ13" s="15">
        <f t="shared" si="9"/>
        <v>52526211.569999993</v>
      </c>
    </row>
    <row r="14" spans="2:50" s="20" customFormat="1" x14ac:dyDescent="0.25">
      <c r="B14" s="30">
        <v>39722</v>
      </c>
      <c r="C14" s="15">
        <v>1404135.64</v>
      </c>
      <c r="D14" s="15">
        <v>0</v>
      </c>
      <c r="E14" s="15">
        <v>2136605</v>
      </c>
      <c r="F14" s="15">
        <v>95006.37</v>
      </c>
      <c r="G14" s="15">
        <f t="shared" si="0"/>
        <v>3635747.01</v>
      </c>
      <c r="H14" s="15">
        <v>3228423.16</v>
      </c>
      <c r="I14" s="15">
        <v>1261375.96</v>
      </c>
      <c r="J14" s="15">
        <v>1530883.94</v>
      </c>
      <c r="K14" s="15">
        <f t="shared" si="1"/>
        <v>9656430.0700000003</v>
      </c>
      <c r="L14" s="15">
        <v>0</v>
      </c>
      <c r="M14" s="15">
        <v>0</v>
      </c>
      <c r="N14" s="15">
        <v>70898352.879999995</v>
      </c>
      <c r="O14" s="15">
        <v>3971052.08</v>
      </c>
      <c r="P14" s="15">
        <v>0</v>
      </c>
      <c r="Q14" s="15">
        <v>0</v>
      </c>
      <c r="R14" s="15">
        <v>337476.84</v>
      </c>
      <c r="S14" s="15">
        <v>0</v>
      </c>
      <c r="T14" s="15">
        <v>0</v>
      </c>
      <c r="U14" s="15">
        <v>0</v>
      </c>
      <c r="V14" s="15">
        <v>0</v>
      </c>
      <c r="W14" s="15">
        <f t="shared" si="2"/>
        <v>75206881.799999997</v>
      </c>
      <c r="X14" s="15">
        <v>353900.44</v>
      </c>
      <c r="Y14" s="15">
        <v>0</v>
      </c>
      <c r="Z14" s="15">
        <v>264796.59000000003</v>
      </c>
      <c r="AA14" s="15">
        <v>0</v>
      </c>
      <c r="AB14" s="15">
        <f t="shared" si="3"/>
        <v>618697.03</v>
      </c>
      <c r="AC14" s="15">
        <v>11210539.91</v>
      </c>
      <c r="AD14" s="15">
        <v>16005589.17</v>
      </c>
      <c r="AE14" s="15">
        <v>2727387.02</v>
      </c>
      <c r="AF14" s="15">
        <f t="shared" si="4"/>
        <v>29943516.099999998</v>
      </c>
      <c r="AG14" s="15">
        <v>0</v>
      </c>
      <c r="AH14" s="15"/>
      <c r="AI14" s="15">
        <v>4350383.66</v>
      </c>
      <c r="AJ14" s="16"/>
      <c r="AK14" s="15">
        <f t="shared" si="5"/>
        <v>9656430.0700000003</v>
      </c>
      <c r="AL14" s="17">
        <f t="shared" si="6"/>
        <v>75825578.829999998</v>
      </c>
      <c r="AM14" s="22">
        <v>-565</v>
      </c>
      <c r="AN14" s="19"/>
      <c r="AO14" s="15">
        <f t="shared" si="7"/>
        <v>119775343.66</v>
      </c>
      <c r="AP14" s="15">
        <f t="shared" si="8"/>
        <v>115425525</v>
      </c>
      <c r="AQ14" s="15">
        <f t="shared" si="9"/>
        <v>85482008.900000006</v>
      </c>
    </row>
    <row r="15" spans="2:50" s="20" customFormat="1" x14ac:dyDescent="0.25">
      <c r="B15" s="31">
        <v>39753</v>
      </c>
      <c r="C15" s="15">
        <v>1120922.3600000001</v>
      </c>
      <c r="D15" s="15">
        <v>0</v>
      </c>
      <c r="E15" s="15">
        <v>2559996</v>
      </c>
      <c r="F15" s="15">
        <v>287302.13</v>
      </c>
      <c r="G15" s="15">
        <f t="shared" si="0"/>
        <v>3968220.49</v>
      </c>
      <c r="H15" s="15">
        <v>3256278.81</v>
      </c>
      <c r="I15" s="15">
        <v>237448.26</v>
      </c>
      <c r="J15" s="15">
        <v>1925936.53</v>
      </c>
      <c r="K15" s="15">
        <f t="shared" si="1"/>
        <v>9387884.0899999999</v>
      </c>
      <c r="L15" s="15">
        <v>0</v>
      </c>
      <c r="M15" s="15">
        <v>0</v>
      </c>
      <c r="N15" s="15">
        <v>28327448.43</v>
      </c>
      <c r="O15" s="15">
        <v>3791740.71</v>
      </c>
      <c r="P15" s="15">
        <v>0</v>
      </c>
      <c r="Q15" s="15">
        <v>0</v>
      </c>
      <c r="R15" s="15">
        <v>418423.52</v>
      </c>
      <c r="S15" s="15">
        <v>0</v>
      </c>
      <c r="T15" s="15">
        <v>0</v>
      </c>
      <c r="U15" s="15">
        <v>0</v>
      </c>
      <c r="V15" s="15">
        <v>0</v>
      </c>
      <c r="W15" s="15">
        <f t="shared" si="2"/>
        <v>32537612.66</v>
      </c>
      <c r="X15" s="15">
        <v>339693.64</v>
      </c>
      <c r="Y15" s="15">
        <v>0</v>
      </c>
      <c r="Z15" s="15">
        <v>226357.31</v>
      </c>
      <c r="AA15" s="15">
        <v>0</v>
      </c>
      <c r="AB15" s="15">
        <f t="shared" si="3"/>
        <v>566050.94999999995</v>
      </c>
      <c r="AC15" s="15">
        <v>9025500.1799999997</v>
      </c>
      <c r="AD15" s="15">
        <v>16005589.17</v>
      </c>
      <c r="AE15" s="15">
        <v>2502387.02</v>
      </c>
      <c r="AF15" s="15">
        <f t="shared" si="4"/>
        <v>27533476.370000001</v>
      </c>
      <c r="AG15" s="15">
        <v>0</v>
      </c>
      <c r="AH15" s="15"/>
      <c r="AI15" s="15">
        <v>4126503.03</v>
      </c>
      <c r="AJ15" s="16"/>
      <c r="AK15" s="15">
        <f t="shared" si="5"/>
        <v>9387884.0899999999</v>
      </c>
      <c r="AL15" s="17">
        <f t="shared" si="6"/>
        <v>33103663.609999999</v>
      </c>
      <c r="AM15" s="22">
        <v>0</v>
      </c>
      <c r="AN15" s="19"/>
      <c r="AO15" s="15">
        <f t="shared" si="7"/>
        <v>74151527.099999994</v>
      </c>
      <c r="AP15" s="15">
        <f t="shared" si="8"/>
        <v>70025024.069999993</v>
      </c>
      <c r="AQ15" s="15">
        <f t="shared" si="9"/>
        <v>42491547.700000003</v>
      </c>
    </row>
    <row r="16" spans="2:50" s="20" customFormat="1" ht="14.1" customHeight="1" x14ac:dyDescent="0.25">
      <c r="B16" s="32">
        <v>39783</v>
      </c>
      <c r="C16" s="15">
        <v>1265048.73</v>
      </c>
      <c r="D16" s="15">
        <v>0</v>
      </c>
      <c r="E16" s="15">
        <v>3570483</v>
      </c>
      <c r="F16" s="15">
        <v>330184.14999999997</v>
      </c>
      <c r="G16" s="15">
        <f t="shared" si="0"/>
        <v>5165715.8800000008</v>
      </c>
      <c r="H16" s="15">
        <v>3948781.48</v>
      </c>
      <c r="I16" s="15">
        <v>12345652.75</v>
      </c>
      <c r="J16" s="15">
        <v>1469717.24</v>
      </c>
      <c r="K16" s="15">
        <f t="shared" si="1"/>
        <v>22929867.349999998</v>
      </c>
      <c r="L16" s="15">
        <v>0</v>
      </c>
      <c r="M16" s="15">
        <v>0</v>
      </c>
      <c r="N16" s="15">
        <v>96039375.920000002</v>
      </c>
      <c r="O16" s="15">
        <v>2908074.36</v>
      </c>
      <c r="P16" s="15">
        <v>0</v>
      </c>
      <c r="Q16" s="15">
        <v>0</v>
      </c>
      <c r="R16" s="15">
        <v>446684.24</v>
      </c>
      <c r="S16" s="15">
        <v>0</v>
      </c>
      <c r="T16" s="15">
        <v>0</v>
      </c>
      <c r="U16" s="15">
        <v>0</v>
      </c>
      <c r="V16" s="15">
        <v>0</v>
      </c>
      <c r="W16" s="15">
        <f t="shared" si="2"/>
        <v>99394134.519999996</v>
      </c>
      <c r="X16" s="15">
        <v>231097.9</v>
      </c>
      <c r="Y16" s="15">
        <v>0</v>
      </c>
      <c r="Z16" s="15">
        <v>253567.42</v>
      </c>
      <c r="AA16" s="15">
        <v>0</v>
      </c>
      <c r="AB16" s="15">
        <f t="shared" si="3"/>
        <v>484665.32</v>
      </c>
      <c r="AC16" s="15">
        <v>-38083.279999999999</v>
      </c>
      <c r="AD16" s="15">
        <v>32010974.579999998</v>
      </c>
      <c r="AE16" s="15">
        <v>16528155.82</v>
      </c>
      <c r="AF16" s="15">
        <f t="shared" si="4"/>
        <v>48501047.119999997</v>
      </c>
      <c r="AG16" s="15">
        <v>1933460.39</v>
      </c>
      <c r="AH16" s="15"/>
      <c r="AI16" s="15">
        <f>51899063.01+48777999.88</f>
        <v>100677062.89</v>
      </c>
      <c r="AJ16" s="16"/>
      <c r="AK16" s="15">
        <f t="shared" si="5"/>
        <v>22929867.349999998</v>
      </c>
      <c r="AL16" s="17">
        <f t="shared" si="6"/>
        <v>99878799.839999989</v>
      </c>
      <c r="AM16" s="22">
        <v>0</v>
      </c>
      <c r="AN16" s="19"/>
      <c r="AO16" s="15">
        <f t="shared" si="7"/>
        <v>273920237.58999997</v>
      </c>
      <c r="AP16" s="15">
        <f t="shared" si="8"/>
        <v>173243174.69999999</v>
      </c>
      <c r="AQ16" s="15">
        <f t="shared" si="9"/>
        <v>122808667.18999998</v>
      </c>
    </row>
    <row r="17" spans="2:43" s="20" customFormat="1" x14ac:dyDescent="0.25">
      <c r="B17" s="14">
        <v>39814</v>
      </c>
      <c r="C17" s="15">
        <v>36249009.670000002</v>
      </c>
      <c r="D17" s="15">
        <v>0</v>
      </c>
      <c r="E17" s="15">
        <v>2381961</v>
      </c>
      <c r="F17" s="15">
        <v>254506.74</v>
      </c>
      <c r="G17" s="15">
        <f t="shared" si="0"/>
        <v>38885477.410000004</v>
      </c>
      <c r="H17" s="15">
        <v>4090875.2</v>
      </c>
      <c r="I17" s="15">
        <v>365276.45</v>
      </c>
      <c r="J17" s="15">
        <v>1850304.04</v>
      </c>
      <c r="K17" s="15">
        <f t="shared" si="1"/>
        <v>45191933.100000009</v>
      </c>
      <c r="L17" s="15">
        <v>0</v>
      </c>
      <c r="M17" s="15">
        <v>0</v>
      </c>
      <c r="N17" s="15">
        <v>58460147.340000004</v>
      </c>
      <c r="O17" s="15">
        <v>2584437.23</v>
      </c>
      <c r="P17" s="15">
        <v>0</v>
      </c>
      <c r="Q17" s="15">
        <v>0</v>
      </c>
      <c r="R17" s="15">
        <v>478932.51</v>
      </c>
      <c r="S17" s="15">
        <v>0</v>
      </c>
      <c r="T17" s="15">
        <v>0</v>
      </c>
      <c r="U17" s="15">
        <v>0</v>
      </c>
      <c r="V17" s="15">
        <v>0</v>
      </c>
      <c r="W17" s="15">
        <f t="shared" si="2"/>
        <v>61523517.079999998</v>
      </c>
      <c r="X17" s="15">
        <v>534664.5</v>
      </c>
      <c r="Y17" s="15">
        <v>0</v>
      </c>
      <c r="Z17" s="15">
        <v>243265.14</v>
      </c>
      <c r="AA17" s="15">
        <v>0</v>
      </c>
      <c r="AB17" s="15">
        <f t="shared" si="3"/>
        <v>777929.64</v>
      </c>
      <c r="AC17" s="15">
        <v>0</v>
      </c>
      <c r="AD17" s="15">
        <v>0</v>
      </c>
      <c r="AE17" s="15">
        <v>0</v>
      </c>
      <c r="AF17" s="15">
        <f t="shared" si="4"/>
        <v>0</v>
      </c>
      <c r="AG17" s="15">
        <v>5377239</v>
      </c>
      <c r="AH17" s="15"/>
      <c r="AI17" s="15">
        <v>0</v>
      </c>
      <c r="AJ17" s="16"/>
      <c r="AK17" s="15">
        <f t="shared" si="5"/>
        <v>45191933.100000009</v>
      </c>
      <c r="AL17" s="17">
        <f t="shared" si="6"/>
        <v>62301446.719999999</v>
      </c>
      <c r="AM17" s="22">
        <v>-1381493.88</v>
      </c>
      <c r="AN17" s="19"/>
      <c r="AO17" s="15">
        <f t="shared" si="7"/>
        <v>111489124.94000001</v>
      </c>
      <c r="AP17" s="15">
        <f t="shared" si="8"/>
        <v>112870618.82000001</v>
      </c>
      <c r="AQ17" s="15">
        <f t="shared" si="9"/>
        <v>107493379.82000001</v>
      </c>
    </row>
    <row r="18" spans="2:43" s="20" customFormat="1" x14ac:dyDescent="0.25">
      <c r="B18" s="21">
        <v>39845</v>
      </c>
      <c r="C18" s="15">
        <v>7463429.1299999999</v>
      </c>
      <c r="D18" s="15">
        <v>0</v>
      </c>
      <c r="E18" s="15">
        <v>1566543.6</v>
      </c>
      <c r="F18" s="15">
        <v>803057.87</v>
      </c>
      <c r="G18" s="15">
        <f t="shared" si="0"/>
        <v>9833030.5999999996</v>
      </c>
      <c r="H18" s="15">
        <v>3934889.07</v>
      </c>
      <c r="I18" s="15">
        <v>2158302.65</v>
      </c>
      <c r="J18" s="15">
        <v>1514032.15</v>
      </c>
      <c r="K18" s="15">
        <f t="shared" si="1"/>
        <v>17440254.469999999</v>
      </c>
      <c r="L18" s="15">
        <v>0</v>
      </c>
      <c r="M18" s="15">
        <v>0</v>
      </c>
      <c r="N18" s="15">
        <v>48478210.200000003</v>
      </c>
      <c r="O18" s="15">
        <v>1643167.4</v>
      </c>
      <c r="P18" s="15">
        <v>0</v>
      </c>
      <c r="Q18" s="15">
        <v>0</v>
      </c>
      <c r="R18" s="15">
        <v>552631.55000000005</v>
      </c>
      <c r="S18" s="15">
        <v>0</v>
      </c>
      <c r="T18" s="15">
        <v>0</v>
      </c>
      <c r="U18" s="15">
        <v>0</v>
      </c>
      <c r="V18" s="15">
        <v>0</v>
      </c>
      <c r="W18" s="15">
        <f t="shared" si="2"/>
        <v>50674009.149999999</v>
      </c>
      <c r="X18" s="15">
        <v>3751186.3</v>
      </c>
      <c r="Y18" s="15">
        <v>0</v>
      </c>
      <c r="Z18" s="15">
        <v>275918.07</v>
      </c>
      <c r="AA18" s="15">
        <v>0</v>
      </c>
      <c r="AB18" s="15">
        <f t="shared" si="3"/>
        <v>4027104.3699999996</v>
      </c>
      <c r="AC18" s="15">
        <v>9589505.0999999996</v>
      </c>
      <c r="AD18" s="15">
        <v>16696977</v>
      </c>
      <c r="AE18" s="15">
        <v>38703677.030000001</v>
      </c>
      <c r="AF18" s="15">
        <f t="shared" si="4"/>
        <v>64990159.130000003</v>
      </c>
      <c r="AG18" s="15">
        <v>0</v>
      </c>
      <c r="AH18" s="15"/>
      <c r="AI18" s="15">
        <v>0</v>
      </c>
      <c r="AJ18" s="16"/>
      <c r="AK18" s="15">
        <f t="shared" si="5"/>
        <v>17440254.469999999</v>
      </c>
      <c r="AL18" s="17">
        <f t="shared" si="6"/>
        <v>54701113.519999996</v>
      </c>
      <c r="AM18" s="22">
        <v>0</v>
      </c>
      <c r="AN18" s="19"/>
      <c r="AO18" s="15">
        <f t="shared" si="7"/>
        <v>137131527.12</v>
      </c>
      <c r="AP18" s="15">
        <f t="shared" si="8"/>
        <v>137131527.12</v>
      </c>
      <c r="AQ18" s="15">
        <f t="shared" si="9"/>
        <v>72141367.989999995</v>
      </c>
    </row>
    <row r="19" spans="2:43" s="20" customFormat="1" x14ac:dyDescent="0.25">
      <c r="B19" s="23">
        <v>39873</v>
      </c>
      <c r="C19" s="15">
        <v>5041429.97</v>
      </c>
      <c r="D19" s="15">
        <v>0</v>
      </c>
      <c r="E19" s="15">
        <v>2387926</v>
      </c>
      <c r="F19" s="15">
        <v>958928.02</v>
      </c>
      <c r="G19" s="15">
        <f t="shared" si="0"/>
        <v>8388283.9900000002</v>
      </c>
      <c r="H19" s="15">
        <v>3676325.55</v>
      </c>
      <c r="I19" s="15">
        <v>745585.53</v>
      </c>
      <c r="J19" s="15">
        <v>1666460.21</v>
      </c>
      <c r="K19" s="15">
        <f t="shared" si="1"/>
        <v>14476655.279999997</v>
      </c>
      <c r="L19" s="15">
        <v>0</v>
      </c>
      <c r="M19" s="15">
        <v>0</v>
      </c>
      <c r="N19" s="15">
        <v>58874195.079999998</v>
      </c>
      <c r="O19" s="15">
        <v>2802986.87</v>
      </c>
      <c r="P19" s="15">
        <v>0</v>
      </c>
      <c r="Q19" s="15">
        <v>0</v>
      </c>
      <c r="R19" s="15">
        <v>307351.42</v>
      </c>
      <c r="S19" s="15">
        <v>0</v>
      </c>
      <c r="T19" s="15">
        <v>0</v>
      </c>
      <c r="U19" s="15">
        <v>0</v>
      </c>
      <c r="V19" s="15">
        <v>0</v>
      </c>
      <c r="W19" s="15">
        <f t="shared" si="2"/>
        <v>61984533.369999997</v>
      </c>
      <c r="X19" s="15">
        <v>1376379.88</v>
      </c>
      <c r="Y19" s="15">
        <v>0</v>
      </c>
      <c r="Z19" s="15">
        <v>249340.72</v>
      </c>
      <c r="AA19" s="15">
        <v>0</v>
      </c>
      <c r="AB19" s="15">
        <f t="shared" si="3"/>
        <v>1625720.5999999999</v>
      </c>
      <c r="AC19" s="15">
        <v>9589505.0999999996</v>
      </c>
      <c r="AD19" s="15">
        <v>16696977</v>
      </c>
      <c r="AE19" s="15">
        <v>0</v>
      </c>
      <c r="AF19" s="15">
        <f t="shared" si="4"/>
        <v>26286482.100000001</v>
      </c>
      <c r="AG19" s="15">
        <v>0</v>
      </c>
      <c r="AH19" s="15"/>
      <c r="AI19" s="15">
        <v>928925.84</v>
      </c>
      <c r="AJ19" s="16"/>
      <c r="AK19" s="15">
        <f t="shared" si="5"/>
        <v>14476655.279999997</v>
      </c>
      <c r="AL19" s="17">
        <f t="shared" si="6"/>
        <v>63610253.969999999</v>
      </c>
      <c r="AM19" s="22">
        <v>-978654.13</v>
      </c>
      <c r="AN19" s="19"/>
      <c r="AO19" s="15">
        <f t="shared" si="7"/>
        <v>104323663.06</v>
      </c>
      <c r="AP19" s="15">
        <f t="shared" si="8"/>
        <v>104373391.34999999</v>
      </c>
      <c r="AQ19" s="15">
        <f t="shared" si="9"/>
        <v>78086909.25</v>
      </c>
    </row>
    <row r="20" spans="2:43" s="20" customFormat="1" x14ac:dyDescent="0.25">
      <c r="B20" s="24">
        <v>39904</v>
      </c>
      <c r="C20" s="15">
        <v>2000333.04</v>
      </c>
      <c r="D20" s="15">
        <v>0</v>
      </c>
      <c r="E20" s="15">
        <v>2219818.34</v>
      </c>
      <c r="F20" s="15">
        <v>21934.6</v>
      </c>
      <c r="G20" s="15">
        <f t="shared" si="0"/>
        <v>4242085.9799999995</v>
      </c>
      <c r="H20" s="15">
        <v>3178320.69</v>
      </c>
      <c r="I20" s="15">
        <v>2001648.6399999999</v>
      </c>
      <c r="J20" s="15">
        <v>1312876</v>
      </c>
      <c r="K20" s="15">
        <f t="shared" si="1"/>
        <v>10734931.310000001</v>
      </c>
      <c r="L20" s="15">
        <v>0</v>
      </c>
      <c r="M20" s="15">
        <v>0</v>
      </c>
      <c r="N20" s="15">
        <v>63355111.640000001</v>
      </c>
      <c r="O20" s="15">
        <v>6526907.5300000003</v>
      </c>
      <c r="P20" s="15">
        <v>0</v>
      </c>
      <c r="Q20" s="15">
        <v>0</v>
      </c>
      <c r="R20" s="15">
        <v>290484.44</v>
      </c>
      <c r="S20" s="15">
        <v>0</v>
      </c>
      <c r="T20" s="15">
        <v>0</v>
      </c>
      <c r="U20" s="15">
        <v>0</v>
      </c>
      <c r="V20" s="15">
        <v>0</v>
      </c>
      <c r="W20" s="15">
        <f t="shared" si="2"/>
        <v>70172503.609999999</v>
      </c>
      <c r="X20" s="15">
        <v>2050819</v>
      </c>
      <c r="Y20" s="15">
        <v>0</v>
      </c>
      <c r="Z20" s="15">
        <v>218182.44</v>
      </c>
      <c r="AA20" s="15">
        <v>0</v>
      </c>
      <c r="AB20" s="15">
        <f t="shared" si="3"/>
        <v>2269001.44</v>
      </c>
      <c r="AC20" s="15">
        <v>9589505.0999999996</v>
      </c>
      <c r="AD20" s="15">
        <v>16696977</v>
      </c>
      <c r="AE20" s="15">
        <f>7216213.3</f>
        <v>7216213.2999999998</v>
      </c>
      <c r="AF20" s="15">
        <f t="shared" si="4"/>
        <v>33502695.400000002</v>
      </c>
      <c r="AG20" s="15">
        <v>0</v>
      </c>
      <c r="AH20" s="15"/>
      <c r="AI20" s="15">
        <v>20952247.210000001</v>
      </c>
      <c r="AJ20" s="16"/>
      <c r="AK20" s="15">
        <f t="shared" si="5"/>
        <v>10734931.310000001</v>
      </c>
      <c r="AL20" s="17">
        <f t="shared" si="6"/>
        <v>72441505.049999997</v>
      </c>
      <c r="AM20" s="22">
        <v>-12370.72</v>
      </c>
      <c r="AN20" s="19"/>
      <c r="AO20" s="15">
        <f t="shared" si="7"/>
        <v>137619008.25</v>
      </c>
      <c r="AP20" s="15">
        <f t="shared" si="8"/>
        <v>116679131.75999999</v>
      </c>
      <c r="AQ20" s="15">
        <f t="shared" si="9"/>
        <v>83176436.359999999</v>
      </c>
    </row>
    <row r="21" spans="2:43" s="20" customFormat="1" x14ac:dyDescent="0.25">
      <c r="B21" s="25">
        <v>39934</v>
      </c>
      <c r="C21" s="15">
        <v>1509300.76</v>
      </c>
      <c r="D21" s="15">
        <v>0</v>
      </c>
      <c r="E21" s="15">
        <v>2333652.2000000002</v>
      </c>
      <c r="F21" s="15">
        <v>656411.14</v>
      </c>
      <c r="G21" s="15">
        <f t="shared" si="0"/>
        <v>4499364.0999999996</v>
      </c>
      <c r="H21" s="15">
        <v>2933757.93</v>
      </c>
      <c r="I21" s="15">
        <v>725855.74</v>
      </c>
      <c r="J21" s="15">
        <v>1511515.35</v>
      </c>
      <c r="K21" s="15">
        <f t="shared" si="1"/>
        <v>9670493.1199999992</v>
      </c>
      <c r="L21" s="15">
        <v>0</v>
      </c>
      <c r="M21" s="15">
        <v>0</v>
      </c>
      <c r="N21" s="15">
        <v>33617963.07</v>
      </c>
      <c r="O21" s="15">
        <v>3008505.33</v>
      </c>
      <c r="P21" s="15">
        <v>0</v>
      </c>
      <c r="Q21" s="15">
        <v>0</v>
      </c>
      <c r="R21" s="15">
        <v>357484.95</v>
      </c>
      <c r="S21" s="15">
        <v>0</v>
      </c>
      <c r="T21" s="15">
        <v>0</v>
      </c>
      <c r="U21" s="15">
        <v>0</v>
      </c>
      <c r="V21" s="15">
        <v>0</v>
      </c>
      <c r="W21" s="15">
        <f t="shared" si="2"/>
        <v>36983953.350000001</v>
      </c>
      <c r="X21" s="15">
        <v>535590.56000000006</v>
      </c>
      <c r="Y21" s="15">
        <v>0</v>
      </c>
      <c r="Z21" s="15">
        <v>217422.98</v>
      </c>
      <c r="AA21" s="15">
        <v>0</v>
      </c>
      <c r="AB21" s="15">
        <f t="shared" si="3"/>
        <v>753013.54</v>
      </c>
      <c r="AC21" s="15">
        <v>9589505.0999999996</v>
      </c>
      <c r="AD21" s="15">
        <v>16696977</v>
      </c>
      <c r="AE21" s="15">
        <v>0</v>
      </c>
      <c r="AF21" s="15">
        <f t="shared" si="4"/>
        <v>26286482.100000001</v>
      </c>
      <c r="AG21" s="15">
        <v>0</v>
      </c>
      <c r="AH21" s="15"/>
      <c r="AI21" s="15">
        <v>837730.17</v>
      </c>
      <c r="AJ21" s="16"/>
      <c r="AK21" s="15">
        <f t="shared" si="5"/>
        <v>9670493.1199999992</v>
      </c>
      <c r="AL21" s="17">
        <f t="shared" si="6"/>
        <v>37736966.890000001</v>
      </c>
      <c r="AM21" s="22">
        <v>-757</v>
      </c>
      <c r="AN21" s="19"/>
      <c r="AO21" s="15">
        <f t="shared" si="7"/>
        <v>74530915.280000001</v>
      </c>
      <c r="AP21" s="15">
        <f t="shared" si="8"/>
        <v>73693942.109999999</v>
      </c>
      <c r="AQ21" s="15">
        <f t="shared" si="9"/>
        <v>47407460.009999998</v>
      </c>
    </row>
    <row r="22" spans="2:43" s="20" customFormat="1" x14ac:dyDescent="0.25">
      <c r="B22" s="26">
        <v>39965</v>
      </c>
      <c r="C22" s="15">
        <v>1404663.22</v>
      </c>
      <c r="D22" s="15">
        <v>0</v>
      </c>
      <c r="E22" s="15">
        <v>3467027.81</v>
      </c>
      <c r="F22" s="15">
        <v>519832.87</v>
      </c>
      <c r="G22" s="15">
        <f t="shared" si="0"/>
        <v>5391523.9000000004</v>
      </c>
      <c r="H22" s="15">
        <v>4025606.71</v>
      </c>
      <c r="I22" s="15">
        <v>2013191.58</v>
      </c>
      <c r="J22" s="15">
        <v>1603502.0800000001</v>
      </c>
      <c r="K22" s="15">
        <f t="shared" si="1"/>
        <v>13033824.27</v>
      </c>
      <c r="L22" s="15">
        <v>0</v>
      </c>
      <c r="M22" s="15">
        <v>0</v>
      </c>
      <c r="N22" s="15">
        <v>29112775.899999999</v>
      </c>
      <c r="O22" s="15">
        <v>2501621.73</v>
      </c>
      <c r="P22" s="15">
        <v>0</v>
      </c>
      <c r="Q22" s="15">
        <v>0</v>
      </c>
      <c r="R22" s="15">
        <v>171663.74</v>
      </c>
      <c r="S22" s="15">
        <v>0</v>
      </c>
      <c r="T22" s="15">
        <v>0</v>
      </c>
      <c r="U22" s="15">
        <v>0</v>
      </c>
      <c r="V22" s="15">
        <v>0</v>
      </c>
      <c r="W22" s="15">
        <f t="shared" si="2"/>
        <v>31786061.369999997</v>
      </c>
      <c r="X22" s="15">
        <v>3539007.18</v>
      </c>
      <c r="Y22" s="15">
        <v>0</v>
      </c>
      <c r="Z22" s="15">
        <v>205820.69</v>
      </c>
      <c r="AA22" s="15">
        <v>0</v>
      </c>
      <c r="AB22" s="15">
        <f t="shared" si="3"/>
        <v>3744827.87</v>
      </c>
      <c r="AC22" s="15">
        <v>9589505.0999999996</v>
      </c>
      <c r="AD22" s="15">
        <v>23154025.199999999</v>
      </c>
      <c r="AE22" s="15">
        <v>0</v>
      </c>
      <c r="AF22" s="15">
        <f t="shared" si="4"/>
        <v>32743530.299999997</v>
      </c>
      <c r="AG22" s="15">
        <v>0</v>
      </c>
      <c r="AH22" s="15"/>
      <c r="AI22" s="15">
        <v>863249.93</v>
      </c>
      <c r="AJ22" s="16"/>
      <c r="AK22" s="15">
        <f t="shared" si="5"/>
        <v>13033824.27</v>
      </c>
      <c r="AL22" s="17">
        <f t="shared" si="6"/>
        <v>35530889.239999995</v>
      </c>
      <c r="AM22" s="22">
        <v>0</v>
      </c>
      <c r="AN22" s="19"/>
      <c r="AO22" s="15">
        <f t="shared" si="7"/>
        <v>82171493.739999995</v>
      </c>
      <c r="AP22" s="15">
        <f t="shared" si="8"/>
        <v>81308243.809999987</v>
      </c>
      <c r="AQ22" s="15">
        <f t="shared" si="9"/>
        <v>48564713.50999999</v>
      </c>
    </row>
    <row r="23" spans="2:43" s="20" customFormat="1" x14ac:dyDescent="0.25">
      <c r="B23" s="27">
        <v>39995</v>
      </c>
      <c r="C23" s="15">
        <v>1966997.21</v>
      </c>
      <c r="D23" s="15">
        <v>0</v>
      </c>
      <c r="E23" s="15">
        <v>3149418.92</v>
      </c>
      <c r="F23" s="15">
        <v>152342.76</v>
      </c>
      <c r="G23" s="15">
        <f t="shared" si="0"/>
        <v>5268758.8899999997</v>
      </c>
      <c r="H23" s="15">
        <v>3207370.51</v>
      </c>
      <c r="I23" s="15">
        <v>1371651.55</v>
      </c>
      <c r="J23" s="15">
        <v>1899972.35</v>
      </c>
      <c r="K23" s="15">
        <f t="shared" si="1"/>
        <v>11747753.299999999</v>
      </c>
      <c r="L23" s="15">
        <v>0</v>
      </c>
      <c r="M23" s="15">
        <v>0</v>
      </c>
      <c r="N23" s="15">
        <v>43772421.049999997</v>
      </c>
      <c r="O23" s="15">
        <v>3930018.03</v>
      </c>
      <c r="P23" s="15">
        <v>0</v>
      </c>
      <c r="Q23" s="15">
        <v>0</v>
      </c>
      <c r="R23" s="15">
        <v>417258.33</v>
      </c>
      <c r="S23" s="15">
        <v>0</v>
      </c>
      <c r="T23" s="15">
        <v>0</v>
      </c>
      <c r="U23" s="15">
        <v>0</v>
      </c>
      <c r="V23" s="15">
        <v>0</v>
      </c>
      <c r="W23" s="15">
        <f t="shared" si="2"/>
        <v>48119697.409999996</v>
      </c>
      <c r="X23" s="15">
        <v>399516.23</v>
      </c>
      <c r="Y23" s="15">
        <v>0</v>
      </c>
      <c r="Z23" s="15">
        <v>227377.65</v>
      </c>
      <c r="AA23" s="15">
        <v>0</v>
      </c>
      <c r="AB23" s="15">
        <f t="shared" si="3"/>
        <v>626893.88</v>
      </c>
      <c r="AC23" s="15">
        <v>9589505.0999999996</v>
      </c>
      <c r="AD23" s="15">
        <v>16696977</v>
      </c>
      <c r="AE23" s="15">
        <f>39419397.47</f>
        <v>39419397.469999999</v>
      </c>
      <c r="AF23" s="15">
        <f t="shared" si="4"/>
        <v>65705879.57</v>
      </c>
      <c r="AG23" s="15">
        <v>0</v>
      </c>
      <c r="AH23" s="15"/>
      <c r="AI23" s="15">
        <v>2374128.1</v>
      </c>
      <c r="AJ23" s="16"/>
      <c r="AK23" s="15">
        <f t="shared" si="5"/>
        <v>11747753.299999999</v>
      </c>
      <c r="AL23" s="17">
        <f t="shared" si="6"/>
        <v>48746591.289999999</v>
      </c>
      <c r="AM23" s="22">
        <v>-2505.6</v>
      </c>
      <c r="AN23" s="19"/>
      <c r="AO23" s="15">
        <f t="shared" si="7"/>
        <v>128571846.66</v>
      </c>
      <c r="AP23" s="15">
        <f t="shared" si="8"/>
        <v>126200224.16</v>
      </c>
      <c r="AQ23" s="15">
        <f t="shared" si="9"/>
        <v>60494344.589999996</v>
      </c>
    </row>
    <row r="24" spans="2:43" s="20" customFormat="1" x14ac:dyDescent="0.25">
      <c r="B24" s="28">
        <v>40026</v>
      </c>
      <c r="C24" s="15">
        <v>1470415.6</v>
      </c>
      <c r="D24" s="15">
        <v>0</v>
      </c>
      <c r="E24" s="15">
        <v>2512050.66</v>
      </c>
      <c r="F24" s="15">
        <v>686669.95000000007</v>
      </c>
      <c r="G24" s="15">
        <f t="shared" si="0"/>
        <v>4669136.21</v>
      </c>
      <c r="H24" s="15">
        <v>3031324.21</v>
      </c>
      <c r="I24" s="15">
        <v>616160.43000000005</v>
      </c>
      <c r="J24" s="15">
        <v>1710137.61</v>
      </c>
      <c r="K24" s="15">
        <f t="shared" si="1"/>
        <v>10026758.459999999</v>
      </c>
      <c r="L24" s="15">
        <v>0</v>
      </c>
      <c r="M24" s="15">
        <v>0</v>
      </c>
      <c r="N24" s="15">
        <v>37820562.659999996</v>
      </c>
      <c r="O24" s="15">
        <v>3174738.67</v>
      </c>
      <c r="P24" s="15">
        <v>0</v>
      </c>
      <c r="Q24" s="15">
        <v>0</v>
      </c>
      <c r="R24" s="15">
        <v>456069.47</v>
      </c>
      <c r="S24" s="15">
        <v>0</v>
      </c>
      <c r="T24" s="15">
        <v>0</v>
      </c>
      <c r="U24" s="15">
        <v>0</v>
      </c>
      <c r="V24" s="15">
        <v>0</v>
      </c>
      <c r="W24" s="15">
        <f t="shared" si="2"/>
        <v>41451370.799999997</v>
      </c>
      <c r="X24" s="15">
        <v>389124.54</v>
      </c>
      <c r="Y24" s="15">
        <v>0</v>
      </c>
      <c r="Z24" s="15">
        <v>196910.42</v>
      </c>
      <c r="AA24" s="15">
        <v>0</v>
      </c>
      <c r="AB24" s="15">
        <f t="shared" si="3"/>
        <v>586034.96</v>
      </c>
      <c r="AC24" s="15">
        <v>9589505.0999999996</v>
      </c>
      <c r="AD24" s="15">
        <v>16696977</v>
      </c>
      <c r="AE24" s="15">
        <v>0</v>
      </c>
      <c r="AF24" s="15">
        <f t="shared" si="4"/>
        <v>26286482.100000001</v>
      </c>
      <c r="AG24" s="15">
        <v>0</v>
      </c>
      <c r="AH24" s="15"/>
      <c r="AI24" s="15">
        <v>9672392.4100000001</v>
      </c>
      <c r="AJ24" s="16"/>
      <c r="AK24" s="15">
        <f t="shared" si="5"/>
        <v>10026758.459999999</v>
      </c>
      <c r="AL24" s="17">
        <f t="shared" si="6"/>
        <v>42037405.759999998</v>
      </c>
      <c r="AM24" s="22">
        <v>-87213.26</v>
      </c>
      <c r="AN24" s="19"/>
      <c r="AO24" s="15">
        <f t="shared" si="7"/>
        <v>87935825.469999999</v>
      </c>
      <c r="AP24" s="15">
        <f t="shared" si="8"/>
        <v>78350646.320000008</v>
      </c>
      <c r="AQ24" s="15">
        <f t="shared" si="9"/>
        <v>52064164.219999999</v>
      </c>
    </row>
    <row r="25" spans="2:43" s="20" customFormat="1" x14ac:dyDescent="0.25">
      <c r="B25" s="29">
        <v>40057</v>
      </c>
      <c r="C25" s="15">
        <v>1728783.31</v>
      </c>
      <c r="D25" s="15">
        <v>0</v>
      </c>
      <c r="E25" s="15">
        <v>5742948.5700000003</v>
      </c>
      <c r="F25" s="15">
        <v>189278.22999999998</v>
      </c>
      <c r="G25" s="15">
        <f t="shared" si="0"/>
        <v>7661010.1100000013</v>
      </c>
      <c r="H25" s="15">
        <v>2989720.89</v>
      </c>
      <c r="I25" s="15">
        <v>1052653.9099999999</v>
      </c>
      <c r="J25" s="15">
        <v>9478493.8100000005</v>
      </c>
      <c r="K25" s="15">
        <f t="shared" si="1"/>
        <v>21181878.720000003</v>
      </c>
      <c r="L25" s="15">
        <v>0</v>
      </c>
      <c r="M25" s="15">
        <v>0</v>
      </c>
      <c r="N25" s="15">
        <v>50839009.43</v>
      </c>
      <c r="O25" s="15">
        <v>6285591.4000000004</v>
      </c>
      <c r="P25" s="15">
        <v>0</v>
      </c>
      <c r="Q25" s="15">
        <v>0</v>
      </c>
      <c r="R25" s="15">
        <v>432558.63</v>
      </c>
      <c r="S25" s="15">
        <v>0</v>
      </c>
      <c r="T25" s="15">
        <v>0</v>
      </c>
      <c r="U25" s="15">
        <v>0</v>
      </c>
      <c r="V25" s="15">
        <v>0</v>
      </c>
      <c r="W25" s="15">
        <f t="shared" si="2"/>
        <v>57557159.460000001</v>
      </c>
      <c r="X25" s="15">
        <v>439391.49</v>
      </c>
      <c r="Y25" s="15">
        <v>0</v>
      </c>
      <c r="Z25" s="15">
        <v>237453.51</v>
      </c>
      <c r="AA25" s="15">
        <v>0</v>
      </c>
      <c r="AB25" s="15">
        <f t="shared" si="3"/>
        <v>676845</v>
      </c>
      <c r="AC25" s="15">
        <v>9589505.0999999996</v>
      </c>
      <c r="AD25" s="15">
        <v>16696977</v>
      </c>
      <c r="AE25" s="15">
        <f>18002121.82</f>
        <v>18002121.82</v>
      </c>
      <c r="AF25" s="15">
        <f t="shared" si="4"/>
        <v>44288603.920000002</v>
      </c>
      <c r="AG25" s="15">
        <v>0</v>
      </c>
      <c r="AH25" s="15"/>
      <c r="AI25" s="15">
        <v>7704747.5499999998</v>
      </c>
      <c r="AJ25" s="16"/>
      <c r="AK25" s="15">
        <f t="shared" si="5"/>
        <v>21181878.720000003</v>
      </c>
      <c r="AL25" s="17">
        <f t="shared" si="6"/>
        <v>58234004.460000001</v>
      </c>
      <c r="AM25" s="22">
        <v>-79523</v>
      </c>
      <c r="AN25" s="19"/>
      <c r="AO25" s="15">
        <f t="shared" si="7"/>
        <v>131329711.65000001</v>
      </c>
      <c r="AP25" s="15">
        <f t="shared" si="8"/>
        <v>123704487.10000001</v>
      </c>
      <c r="AQ25" s="15">
        <f t="shared" si="9"/>
        <v>79415883.180000007</v>
      </c>
    </row>
    <row r="26" spans="2:43" s="20" customFormat="1" x14ac:dyDescent="0.25">
      <c r="B26" s="30">
        <v>40087</v>
      </c>
      <c r="C26" s="15">
        <v>1343288.31</v>
      </c>
      <c r="D26" s="15">
        <v>0</v>
      </c>
      <c r="E26" s="15">
        <v>3648019.63</v>
      </c>
      <c r="F26" s="15">
        <v>139905.13</v>
      </c>
      <c r="G26" s="15">
        <f t="shared" si="0"/>
        <v>5131213.0699999994</v>
      </c>
      <c r="H26" s="15">
        <v>4104305.32</v>
      </c>
      <c r="I26" s="15">
        <v>260271.62</v>
      </c>
      <c r="J26" s="15">
        <v>1738486.98</v>
      </c>
      <c r="K26" s="15">
        <f t="shared" si="1"/>
        <v>11234276.989999998</v>
      </c>
      <c r="L26" s="15">
        <v>0</v>
      </c>
      <c r="M26" s="15">
        <v>0</v>
      </c>
      <c r="N26" s="15">
        <v>53693599.280000001</v>
      </c>
      <c r="O26" s="15">
        <v>2702969.72</v>
      </c>
      <c r="P26" s="15">
        <v>0</v>
      </c>
      <c r="Q26" s="15">
        <v>0</v>
      </c>
      <c r="R26" s="15">
        <v>430641.64</v>
      </c>
      <c r="S26" s="15">
        <v>0</v>
      </c>
      <c r="T26" s="15">
        <v>0</v>
      </c>
      <c r="U26" s="15">
        <v>0</v>
      </c>
      <c r="V26" s="15">
        <v>0</v>
      </c>
      <c r="W26" s="15">
        <f t="shared" si="2"/>
        <v>56827210.640000001</v>
      </c>
      <c r="X26" s="15">
        <v>637208.53</v>
      </c>
      <c r="Y26" s="15">
        <v>0</v>
      </c>
      <c r="Z26" s="15">
        <v>200160.45</v>
      </c>
      <c r="AA26" s="15">
        <v>0</v>
      </c>
      <c r="AB26" s="15">
        <f t="shared" si="3"/>
        <v>837368.98</v>
      </c>
      <c r="AC26" s="15">
        <v>9589505.0999999996</v>
      </c>
      <c r="AD26" s="15">
        <v>16696977</v>
      </c>
      <c r="AE26" s="15">
        <f>7121594.82</f>
        <v>7121594.8200000003</v>
      </c>
      <c r="AF26" s="15">
        <f t="shared" si="4"/>
        <v>33408076.920000002</v>
      </c>
      <c r="AG26" s="15">
        <v>0</v>
      </c>
      <c r="AH26" s="15"/>
      <c r="AI26" s="15">
        <v>1174330.72</v>
      </c>
      <c r="AJ26" s="16"/>
      <c r="AK26" s="15">
        <f t="shared" si="5"/>
        <v>11234276.989999998</v>
      </c>
      <c r="AL26" s="17">
        <f t="shared" si="6"/>
        <v>57664579.619999997</v>
      </c>
      <c r="AM26" s="22">
        <v>0</v>
      </c>
      <c r="AN26" s="19"/>
      <c r="AO26" s="15">
        <f t="shared" si="7"/>
        <v>103481264.25</v>
      </c>
      <c r="AP26" s="15">
        <f t="shared" si="8"/>
        <v>102306933.53</v>
      </c>
      <c r="AQ26" s="15">
        <f t="shared" si="9"/>
        <v>68898856.609999999</v>
      </c>
    </row>
    <row r="27" spans="2:43" s="20" customFormat="1" x14ac:dyDescent="0.25">
      <c r="B27" s="31">
        <v>40118</v>
      </c>
      <c r="C27" s="15">
        <v>1191551.78</v>
      </c>
      <c r="D27" s="15">
        <v>0</v>
      </c>
      <c r="E27" s="15">
        <v>3504044.95</v>
      </c>
      <c r="F27" s="15">
        <v>712306.4</v>
      </c>
      <c r="G27" s="15">
        <f t="shared" si="0"/>
        <v>5407903.1300000008</v>
      </c>
      <c r="H27" s="15">
        <v>2945505.44</v>
      </c>
      <c r="I27" s="15">
        <v>1118528.52</v>
      </c>
      <c r="J27" s="15">
        <v>20276379.57</v>
      </c>
      <c r="K27" s="15">
        <f t="shared" si="1"/>
        <v>29748316.66</v>
      </c>
      <c r="L27" s="15">
        <v>0</v>
      </c>
      <c r="M27" s="15">
        <v>0</v>
      </c>
      <c r="N27" s="15">
        <v>40558350.939999998</v>
      </c>
      <c r="O27" s="15">
        <v>2005655.06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f t="shared" si="2"/>
        <v>42564006</v>
      </c>
      <c r="X27" s="15">
        <v>322093.84999999998</v>
      </c>
      <c r="Y27" s="15">
        <v>0</v>
      </c>
      <c r="Z27" s="15">
        <v>246795.42</v>
      </c>
      <c r="AA27" s="15">
        <v>225000</v>
      </c>
      <c r="AB27" s="15">
        <f t="shared" si="3"/>
        <v>793889.27</v>
      </c>
      <c r="AC27" s="15">
        <v>9589508.0999999996</v>
      </c>
      <c r="AD27" s="15">
        <v>16696977</v>
      </c>
      <c r="AE27" s="15">
        <f>14418250.17</f>
        <v>14418250.17</v>
      </c>
      <c r="AF27" s="15">
        <f t="shared" si="4"/>
        <v>40704735.270000003</v>
      </c>
      <c r="AG27" s="15">
        <v>0</v>
      </c>
      <c r="AH27" s="15"/>
      <c r="AI27" s="15">
        <v>10311663.039999999</v>
      </c>
      <c r="AJ27" s="16"/>
      <c r="AK27" s="15">
        <f t="shared" si="5"/>
        <v>29748316.66</v>
      </c>
      <c r="AL27" s="17">
        <f t="shared" si="6"/>
        <v>43357895.270000003</v>
      </c>
      <c r="AM27" s="22">
        <v>0</v>
      </c>
      <c r="AN27" s="19"/>
      <c r="AO27" s="15">
        <f t="shared" si="7"/>
        <v>124122610.24000001</v>
      </c>
      <c r="AP27" s="15">
        <f t="shared" si="8"/>
        <v>113810947.20000002</v>
      </c>
      <c r="AQ27" s="15">
        <f t="shared" si="9"/>
        <v>73106211.930000007</v>
      </c>
    </row>
    <row r="28" spans="2:43" s="20" customFormat="1" x14ac:dyDescent="0.25">
      <c r="B28" s="32">
        <v>40148</v>
      </c>
      <c r="C28" s="15">
        <v>1504632.95</v>
      </c>
      <c r="D28" s="15">
        <v>0</v>
      </c>
      <c r="E28" s="15">
        <v>6240500.9800000004</v>
      </c>
      <c r="F28" s="15">
        <v>752137.8</v>
      </c>
      <c r="G28" s="15">
        <f t="shared" si="0"/>
        <v>8497271.7300000004</v>
      </c>
      <c r="H28" s="15">
        <v>5421596.3799999999</v>
      </c>
      <c r="I28" s="15">
        <v>9810309.4600000009</v>
      </c>
      <c r="J28" s="15">
        <v>7618055.0700000003</v>
      </c>
      <c r="K28" s="15">
        <f t="shared" si="1"/>
        <v>31347232.640000001</v>
      </c>
      <c r="L28" s="15">
        <v>0</v>
      </c>
      <c r="M28" s="15">
        <v>0</v>
      </c>
      <c r="N28" s="15">
        <v>81970038.200000003</v>
      </c>
      <c r="O28" s="15">
        <v>8473117.4299999997</v>
      </c>
      <c r="P28" s="15">
        <v>0</v>
      </c>
      <c r="Q28" s="15">
        <v>0</v>
      </c>
      <c r="R28" s="15">
        <v>754933.81</v>
      </c>
      <c r="S28" s="15">
        <v>0</v>
      </c>
      <c r="T28" s="15">
        <v>0</v>
      </c>
      <c r="U28" s="15">
        <v>0</v>
      </c>
      <c r="V28" s="15">
        <v>0</v>
      </c>
      <c r="W28" s="15">
        <f t="shared" si="2"/>
        <v>91198089.439999998</v>
      </c>
      <c r="X28" s="15">
        <v>370336.95</v>
      </c>
      <c r="Y28" s="15">
        <v>0</v>
      </c>
      <c r="Z28" s="15">
        <v>255430.13</v>
      </c>
      <c r="AA28" s="15">
        <v>333934</v>
      </c>
      <c r="AB28" s="15">
        <f t="shared" si="3"/>
        <v>959701.08000000007</v>
      </c>
      <c r="AC28" s="15">
        <v>0</v>
      </c>
      <c r="AD28" s="15">
        <v>26936901.800000001</v>
      </c>
      <c r="AE28" s="15">
        <f>24670112.81</f>
        <v>24670112.809999999</v>
      </c>
      <c r="AF28" s="15">
        <f t="shared" si="4"/>
        <v>51607014.609999999</v>
      </c>
      <c r="AG28" s="15">
        <v>0</v>
      </c>
      <c r="AH28" s="15"/>
      <c r="AI28" s="15">
        <v>46476393.450000003</v>
      </c>
      <c r="AJ28" s="16"/>
      <c r="AK28" s="15">
        <f t="shared" si="5"/>
        <v>31347232.640000001</v>
      </c>
      <c r="AL28" s="17">
        <f t="shared" si="6"/>
        <v>92157790.519999996</v>
      </c>
      <c r="AM28" s="22">
        <v>0</v>
      </c>
      <c r="AN28" s="19"/>
      <c r="AO28" s="15">
        <f t="shared" si="7"/>
        <v>221588431.22</v>
      </c>
      <c r="AP28" s="15">
        <f t="shared" si="8"/>
        <v>175112037.76999998</v>
      </c>
      <c r="AQ28" s="15">
        <f t="shared" si="9"/>
        <v>123505023.16</v>
      </c>
    </row>
    <row r="29" spans="2:43" s="20" customFormat="1" x14ac:dyDescent="0.25">
      <c r="B29" s="14">
        <v>40179</v>
      </c>
      <c r="C29" s="15">
        <v>47956327.310000002</v>
      </c>
      <c r="D29" s="15">
        <v>0</v>
      </c>
      <c r="E29" s="15">
        <v>1405667.56</v>
      </c>
      <c r="F29" s="15">
        <v>42557.599999999999</v>
      </c>
      <c r="G29" s="15">
        <f t="shared" si="0"/>
        <v>49404552.470000006</v>
      </c>
      <c r="H29" s="15">
        <v>4657155.2300000004</v>
      </c>
      <c r="I29" s="15">
        <v>709934.69</v>
      </c>
      <c r="J29" s="15">
        <v>5612016.2599999998</v>
      </c>
      <c r="K29" s="15">
        <f t="shared" si="1"/>
        <v>60383658.649999999</v>
      </c>
      <c r="L29" s="15">
        <v>0</v>
      </c>
      <c r="M29" s="15">
        <v>0</v>
      </c>
      <c r="N29" s="15">
        <v>50510334.079999998</v>
      </c>
      <c r="O29" s="15">
        <v>3242179.58</v>
      </c>
      <c r="P29" s="15">
        <v>13135.94</v>
      </c>
      <c r="Q29" s="15">
        <v>0</v>
      </c>
      <c r="R29" s="15">
        <v>379464.04</v>
      </c>
      <c r="S29" s="15">
        <v>0</v>
      </c>
      <c r="T29" s="15">
        <v>0</v>
      </c>
      <c r="U29" s="15">
        <v>0</v>
      </c>
      <c r="V29" s="15">
        <v>0</v>
      </c>
      <c r="W29" s="15">
        <f t="shared" si="2"/>
        <v>54145113.639999993</v>
      </c>
      <c r="X29" s="15">
        <v>0</v>
      </c>
      <c r="Y29" s="15">
        <v>0</v>
      </c>
      <c r="Z29" s="15">
        <v>0</v>
      </c>
      <c r="AA29" s="15">
        <v>0</v>
      </c>
      <c r="AB29" s="15">
        <f t="shared" si="3"/>
        <v>0</v>
      </c>
      <c r="AC29" s="15">
        <v>0</v>
      </c>
      <c r="AD29" s="15">
        <v>126634.34</v>
      </c>
      <c r="AE29" s="15">
        <v>0</v>
      </c>
      <c r="AF29" s="15">
        <f t="shared" si="4"/>
        <v>126634.34</v>
      </c>
      <c r="AG29" s="15">
        <v>0</v>
      </c>
      <c r="AH29" s="15"/>
      <c r="AI29" s="15">
        <v>7000000</v>
      </c>
      <c r="AJ29" s="16"/>
      <c r="AK29" s="15">
        <f t="shared" si="5"/>
        <v>60383658.649999999</v>
      </c>
      <c r="AL29" s="17">
        <f t="shared" si="6"/>
        <v>54145113.639999993</v>
      </c>
      <c r="AM29" s="22">
        <v>-8101.02</v>
      </c>
      <c r="AN29" s="19"/>
      <c r="AO29" s="15">
        <f t="shared" si="7"/>
        <v>121647305.61</v>
      </c>
      <c r="AP29" s="15">
        <f t="shared" si="8"/>
        <v>114655406.63</v>
      </c>
      <c r="AQ29" s="15">
        <f t="shared" si="9"/>
        <v>114528772.28999999</v>
      </c>
    </row>
    <row r="30" spans="2:43" s="20" customFormat="1" x14ac:dyDescent="0.25">
      <c r="B30" s="21">
        <v>40210</v>
      </c>
      <c r="C30" s="15">
        <v>6803615.5099999998</v>
      </c>
      <c r="D30" s="15">
        <v>0</v>
      </c>
      <c r="E30" s="15">
        <v>1894323.23</v>
      </c>
      <c r="F30" s="15">
        <v>117254.03</v>
      </c>
      <c r="G30" s="15">
        <f t="shared" si="0"/>
        <v>8815192.7699999996</v>
      </c>
      <c r="H30" s="15">
        <v>3658999.11</v>
      </c>
      <c r="I30" s="15">
        <v>781753.51</v>
      </c>
      <c r="J30" s="15">
        <v>5293166.96</v>
      </c>
      <c r="K30" s="15">
        <f t="shared" si="1"/>
        <v>18549112.349999998</v>
      </c>
      <c r="L30" s="15">
        <v>0</v>
      </c>
      <c r="M30" s="15">
        <v>0</v>
      </c>
      <c r="N30" s="15">
        <v>48554551.990000002</v>
      </c>
      <c r="O30" s="15">
        <v>6466502.8600000003</v>
      </c>
      <c r="P30" s="15">
        <v>386617.17</v>
      </c>
      <c r="Q30" s="15">
        <v>1456609.11</v>
      </c>
      <c r="R30" s="15">
        <v>656025.43999999994</v>
      </c>
      <c r="S30" s="15">
        <v>104483.8</v>
      </c>
      <c r="T30" s="15">
        <v>0</v>
      </c>
      <c r="U30" s="15">
        <v>112855.45</v>
      </c>
      <c r="V30" s="15">
        <v>0</v>
      </c>
      <c r="W30" s="15">
        <f t="shared" si="2"/>
        <v>57737645.82</v>
      </c>
      <c r="X30" s="15">
        <v>1123209.68</v>
      </c>
      <c r="Y30" s="15">
        <v>0</v>
      </c>
      <c r="Z30" s="15">
        <v>782006.32</v>
      </c>
      <c r="AA30" s="15">
        <v>2084375</v>
      </c>
      <c r="AB30" s="15">
        <f t="shared" si="3"/>
        <v>3989591</v>
      </c>
      <c r="AC30" s="15">
        <v>10084951.5</v>
      </c>
      <c r="AD30" s="15">
        <v>17499340.670000002</v>
      </c>
      <c r="AE30" s="15">
        <f>34846436.65</f>
        <v>34846436.649999999</v>
      </c>
      <c r="AF30" s="15">
        <f t="shared" si="4"/>
        <v>62430728.82</v>
      </c>
      <c r="AG30" s="15">
        <v>0</v>
      </c>
      <c r="AH30" s="15"/>
      <c r="AI30" s="15">
        <v>0</v>
      </c>
      <c r="AJ30" s="16"/>
      <c r="AK30" s="15">
        <f t="shared" si="5"/>
        <v>18549112.349999998</v>
      </c>
      <c r="AL30" s="17">
        <f t="shared" si="6"/>
        <v>61727236.82</v>
      </c>
      <c r="AM30" s="22">
        <v>-131855.26999999999</v>
      </c>
      <c r="AN30" s="19"/>
      <c r="AO30" s="15">
        <f t="shared" si="7"/>
        <v>142575222.72</v>
      </c>
      <c r="AP30" s="15">
        <f t="shared" si="8"/>
        <v>142707077.99000001</v>
      </c>
      <c r="AQ30" s="15">
        <f t="shared" si="9"/>
        <v>80276349.170000002</v>
      </c>
    </row>
    <row r="31" spans="2:43" s="20" customFormat="1" x14ac:dyDescent="0.25">
      <c r="B31" s="23">
        <v>40238</v>
      </c>
      <c r="C31" s="15">
        <v>5283130.1500000004</v>
      </c>
      <c r="D31" s="15">
        <v>0</v>
      </c>
      <c r="E31" s="15">
        <v>3295808.75</v>
      </c>
      <c r="F31" s="15">
        <v>336028.46</v>
      </c>
      <c r="G31" s="15">
        <f t="shared" si="0"/>
        <v>8914967.3600000013</v>
      </c>
      <c r="H31" s="15">
        <v>4091719.67</v>
      </c>
      <c r="I31" s="15">
        <v>1589307.54</v>
      </c>
      <c r="J31" s="15">
        <v>5285116.26</v>
      </c>
      <c r="K31" s="15">
        <f t="shared" si="1"/>
        <v>19881110.829999998</v>
      </c>
      <c r="L31" s="15">
        <v>0</v>
      </c>
      <c r="M31" s="15">
        <v>0</v>
      </c>
      <c r="N31" s="15">
        <v>43767200.399999999</v>
      </c>
      <c r="O31" s="15">
        <v>3494099.87</v>
      </c>
      <c r="P31" s="15">
        <v>176612.69</v>
      </c>
      <c r="Q31" s="15">
        <v>794347.42</v>
      </c>
      <c r="R31" s="15">
        <v>172115.3</v>
      </c>
      <c r="S31" s="15">
        <v>267661.68</v>
      </c>
      <c r="T31" s="15">
        <v>0</v>
      </c>
      <c r="U31" s="15">
        <v>68094.77</v>
      </c>
      <c r="V31" s="15">
        <v>0</v>
      </c>
      <c r="W31" s="15">
        <f t="shared" si="2"/>
        <v>48740132.129999995</v>
      </c>
      <c r="X31" s="15">
        <v>295295.09999999998</v>
      </c>
      <c r="Y31" s="15">
        <v>0</v>
      </c>
      <c r="Z31" s="15">
        <v>278496.59000000003</v>
      </c>
      <c r="AA31" s="15">
        <v>0</v>
      </c>
      <c r="AB31" s="15">
        <f t="shared" si="3"/>
        <v>573791.68999999994</v>
      </c>
      <c r="AC31" s="15">
        <v>10084951.5</v>
      </c>
      <c r="AD31" s="15">
        <v>17357561.449999999</v>
      </c>
      <c r="AE31" s="15">
        <f>10125238.75</f>
        <v>10125238.75</v>
      </c>
      <c r="AF31" s="15">
        <f t="shared" si="4"/>
        <v>37567751.700000003</v>
      </c>
      <c r="AG31" s="15">
        <v>0</v>
      </c>
      <c r="AH31" s="15"/>
      <c r="AI31" s="15">
        <v>0</v>
      </c>
      <c r="AJ31" s="16"/>
      <c r="AK31" s="15">
        <f t="shared" si="5"/>
        <v>19881110.829999998</v>
      </c>
      <c r="AL31" s="17">
        <f t="shared" si="6"/>
        <v>49313923.819999993</v>
      </c>
      <c r="AM31" s="22">
        <v>-84683.57</v>
      </c>
      <c r="AN31" s="19"/>
      <c r="AO31" s="15">
        <f t="shared" si="7"/>
        <v>106678102.78</v>
      </c>
      <c r="AP31" s="15">
        <f t="shared" si="8"/>
        <v>106762786.34999999</v>
      </c>
      <c r="AQ31" s="15">
        <f t="shared" si="9"/>
        <v>69195034.649999991</v>
      </c>
    </row>
    <row r="32" spans="2:43" s="20" customFormat="1" x14ac:dyDescent="0.25">
      <c r="B32" s="24">
        <v>40269</v>
      </c>
      <c r="C32" s="15">
        <v>2000821.16</v>
      </c>
      <c r="D32" s="15">
        <v>0</v>
      </c>
      <c r="E32" s="15">
        <v>3427114.87</v>
      </c>
      <c r="F32" s="15">
        <v>160977.27000000002</v>
      </c>
      <c r="G32" s="15">
        <f t="shared" si="0"/>
        <v>5588913.3000000007</v>
      </c>
      <c r="H32" s="15">
        <v>4638227.55</v>
      </c>
      <c r="I32" s="15">
        <v>1457232.83</v>
      </c>
      <c r="J32" s="15">
        <v>8042038.9299999997</v>
      </c>
      <c r="K32" s="15">
        <f t="shared" si="1"/>
        <v>19726412.609999999</v>
      </c>
      <c r="L32" s="15">
        <v>0</v>
      </c>
      <c r="M32" s="15">
        <v>0</v>
      </c>
      <c r="N32" s="15">
        <v>38037345.609999999</v>
      </c>
      <c r="O32" s="15">
        <v>4962734.8499999996</v>
      </c>
      <c r="P32" s="15">
        <v>176612.69</v>
      </c>
      <c r="Q32" s="15">
        <v>4665905.43</v>
      </c>
      <c r="R32" s="15">
        <v>348274.94</v>
      </c>
      <c r="S32" s="15">
        <v>0</v>
      </c>
      <c r="T32" s="15">
        <v>0</v>
      </c>
      <c r="U32" s="15">
        <v>70791.350000000006</v>
      </c>
      <c r="V32" s="15">
        <v>0</v>
      </c>
      <c r="W32" s="15">
        <f t="shared" si="2"/>
        <v>48261664.869999997</v>
      </c>
      <c r="X32" s="15">
        <v>253431.6</v>
      </c>
      <c r="Y32" s="15">
        <v>0</v>
      </c>
      <c r="Z32" s="15">
        <v>256811.49</v>
      </c>
      <c r="AA32" s="15">
        <v>0</v>
      </c>
      <c r="AB32" s="15">
        <f t="shared" si="3"/>
        <v>510243.08999999997</v>
      </c>
      <c r="AC32" s="15">
        <v>10084951.5</v>
      </c>
      <c r="AD32" s="15">
        <v>21857561.449999999</v>
      </c>
      <c r="AE32" s="15">
        <v>0</v>
      </c>
      <c r="AF32" s="15">
        <f t="shared" si="4"/>
        <v>31942512.949999999</v>
      </c>
      <c r="AG32" s="15">
        <v>0</v>
      </c>
      <c r="AH32" s="15"/>
      <c r="AI32" s="15">
        <v>0</v>
      </c>
      <c r="AJ32" s="16"/>
      <c r="AK32" s="15">
        <f t="shared" si="5"/>
        <v>19726412.609999999</v>
      </c>
      <c r="AL32" s="17">
        <f t="shared" si="6"/>
        <v>48771907.960000001</v>
      </c>
      <c r="AM32" s="22">
        <v>-90182.74</v>
      </c>
      <c r="AN32" s="19"/>
      <c r="AO32" s="15">
        <f t="shared" si="7"/>
        <v>100350650.78000002</v>
      </c>
      <c r="AP32" s="15">
        <f t="shared" si="8"/>
        <v>100440833.52000001</v>
      </c>
      <c r="AQ32" s="15">
        <f t="shared" si="9"/>
        <v>68498320.569999993</v>
      </c>
    </row>
    <row r="33" spans="2:48" s="20" customFormat="1" x14ac:dyDescent="0.25">
      <c r="B33" s="25">
        <v>40299</v>
      </c>
      <c r="C33" s="15">
        <v>1709078.22</v>
      </c>
      <c r="D33" s="15">
        <v>0</v>
      </c>
      <c r="E33" s="15">
        <v>2006130.5</v>
      </c>
      <c r="F33" s="15">
        <v>445759.55000000005</v>
      </c>
      <c r="G33" s="15">
        <f t="shared" si="0"/>
        <v>4160968.2699999996</v>
      </c>
      <c r="H33" s="15">
        <v>2829456.38</v>
      </c>
      <c r="I33" s="15">
        <v>1311978.54</v>
      </c>
      <c r="J33" s="15">
        <v>4919866.5199999996</v>
      </c>
      <c r="K33" s="15">
        <f t="shared" si="1"/>
        <v>13222269.709999999</v>
      </c>
      <c r="L33" s="15">
        <v>0</v>
      </c>
      <c r="M33" s="15">
        <v>0</v>
      </c>
      <c r="N33" s="15">
        <v>64417856.509999998</v>
      </c>
      <c r="O33" s="15">
        <v>4055663.32</v>
      </c>
      <c r="P33" s="15">
        <v>147024.46</v>
      </c>
      <c r="Q33" s="15">
        <v>691576.23</v>
      </c>
      <c r="R33" s="15">
        <v>389449.7</v>
      </c>
      <c r="S33" s="15">
        <v>6706.87</v>
      </c>
      <c r="T33" s="15">
        <v>0</v>
      </c>
      <c r="U33" s="15">
        <v>41401.81</v>
      </c>
      <c r="V33" s="15">
        <v>0</v>
      </c>
      <c r="W33" s="15">
        <f t="shared" si="2"/>
        <v>69749678.900000006</v>
      </c>
      <c r="X33" s="15">
        <v>78128.759999999995</v>
      </c>
      <c r="Y33" s="15">
        <v>0</v>
      </c>
      <c r="Z33" s="15">
        <v>276701.7</v>
      </c>
      <c r="AA33" s="15">
        <v>-2084375</v>
      </c>
      <c r="AB33" s="15">
        <f t="shared" si="3"/>
        <v>-1729544.54</v>
      </c>
      <c r="AC33" s="15">
        <v>10084951.5</v>
      </c>
      <c r="AD33" s="15">
        <v>17089147.890000001</v>
      </c>
      <c r="AE33" s="15">
        <v>10172317.4</v>
      </c>
      <c r="AF33" s="15">
        <f t="shared" si="4"/>
        <v>37346416.789999999</v>
      </c>
      <c r="AG33" s="15">
        <v>0</v>
      </c>
      <c r="AH33" s="15"/>
      <c r="AI33" s="15">
        <v>29148421.09</v>
      </c>
      <c r="AJ33" s="16"/>
      <c r="AK33" s="15">
        <f t="shared" si="5"/>
        <v>13222269.709999999</v>
      </c>
      <c r="AL33" s="17">
        <f t="shared" si="6"/>
        <v>68020134.359999999</v>
      </c>
      <c r="AM33" s="22">
        <v>-4324784.0599999996</v>
      </c>
      <c r="AN33" s="19"/>
      <c r="AO33" s="15">
        <f t="shared" si="7"/>
        <v>143412457.88999999</v>
      </c>
      <c r="AP33" s="15">
        <f t="shared" si="8"/>
        <v>118588820.85999998</v>
      </c>
      <c r="AQ33" s="15">
        <f t="shared" si="9"/>
        <v>81242404.069999993</v>
      </c>
    </row>
    <row r="34" spans="2:48" s="20" customFormat="1" x14ac:dyDescent="0.25">
      <c r="B34" s="26">
        <v>40330</v>
      </c>
      <c r="C34" s="15">
        <v>1519608.18</v>
      </c>
      <c r="D34" s="15">
        <v>0</v>
      </c>
      <c r="E34" s="15">
        <v>3507359.74</v>
      </c>
      <c r="F34" s="15">
        <v>1147254.7699999998</v>
      </c>
      <c r="G34" s="15">
        <f t="shared" si="0"/>
        <v>6174222.6899999995</v>
      </c>
      <c r="H34" s="15">
        <v>3456665.07</v>
      </c>
      <c r="I34" s="15">
        <v>275276.78000000003</v>
      </c>
      <c r="J34" s="15">
        <v>5262287.2</v>
      </c>
      <c r="K34" s="15">
        <f t="shared" si="1"/>
        <v>15168451.739999998</v>
      </c>
      <c r="L34" s="15">
        <v>0</v>
      </c>
      <c r="M34" s="15">
        <v>0</v>
      </c>
      <c r="N34" s="15">
        <v>32574099.66</v>
      </c>
      <c r="O34" s="15">
        <v>3995530.55</v>
      </c>
      <c r="P34" s="15">
        <v>181354.55</v>
      </c>
      <c r="Q34" s="15">
        <v>753632.14</v>
      </c>
      <c r="R34" s="15">
        <v>467567.3</v>
      </c>
      <c r="S34" s="15">
        <v>127260.17</v>
      </c>
      <c r="T34" s="15">
        <v>0</v>
      </c>
      <c r="U34" s="15">
        <v>70478.7</v>
      </c>
      <c r="V34" s="15">
        <v>0</v>
      </c>
      <c r="W34" s="15">
        <f t="shared" si="2"/>
        <v>38169923.07</v>
      </c>
      <c r="X34" s="15">
        <v>121346.88</v>
      </c>
      <c r="Y34" s="15">
        <v>0</v>
      </c>
      <c r="Z34" s="15">
        <v>193486.46</v>
      </c>
      <c r="AA34" s="15">
        <v>0</v>
      </c>
      <c r="AB34" s="15">
        <f t="shared" si="3"/>
        <v>314833.33999999997</v>
      </c>
      <c r="AC34" s="15">
        <v>10084951.5</v>
      </c>
      <c r="AD34" s="15">
        <v>12857561.449999999</v>
      </c>
      <c r="AE34" s="15">
        <v>0</v>
      </c>
      <c r="AF34" s="15">
        <f t="shared" si="4"/>
        <v>22942512.949999999</v>
      </c>
      <c r="AG34" s="15">
        <v>0</v>
      </c>
      <c r="AH34" s="15"/>
      <c r="AI34" s="15">
        <v>0</v>
      </c>
      <c r="AJ34" s="16"/>
      <c r="AK34" s="15">
        <f t="shared" si="5"/>
        <v>15168451.739999998</v>
      </c>
      <c r="AL34" s="17">
        <f t="shared" si="6"/>
        <v>38484756.410000004</v>
      </c>
      <c r="AM34" s="22">
        <v>0</v>
      </c>
      <c r="AN34" s="19"/>
      <c r="AO34" s="15">
        <f t="shared" si="7"/>
        <v>76595721.099999994</v>
      </c>
      <c r="AP34" s="15">
        <f t="shared" si="8"/>
        <v>76595721.099999994</v>
      </c>
      <c r="AQ34" s="15">
        <f t="shared" si="9"/>
        <v>53653208.150000006</v>
      </c>
    </row>
    <row r="35" spans="2:48" s="20" customFormat="1" x14ac:dyDescent="0.25">
      <c r="B35" s="27">
        <v>40360</v>
      </c>
      <c r="C35" s="15">
        <v>1470325.63</v>
      </c>
      <c r="D35" s="15">
        <v>0</v>
      </c>
      <c r="E35" s="15">
        <v>2900867.25</v>
      </c>
      <c r="F35" s="15">
        <v>515546.75</v>
      </c>
      <c r="G35" s="15">
        <f t="shared" si="0"/>
        <v>4886739.63</v>
      </c>
      <c r="H35" s="15">
        <v>3964348</v>
      </c>
      <c r="I35" s="15">
        <v>5134141.25</v>
      </c>
      <c r="J35" s="15">
        <v>5549982.6200000001</v>
      </c>
      <c r="K35" s="15">
        <f t="shared" si="1"/>
        <v>19535211.5</v>
      </c>
      <c r="L35" s="15">
        <v>0</v>
      </c>
      <c r="M35" s="15">
        <v>0</v>
      </c>
      <c r="N35" s="15">
        <v>41193384.579999998</v>
      </c>
      <c r="O35" s="15">
        <v>4539100.1500000004</v>
      </c>
      <c r="P35" s="15">
        <v>176612.69</v>
      </c>
      <c r="Q35" s="15">
        <v>0</v>
      </c>
      <c r="R35" s="15">
        <v>566867.05000000005</v>
      </c>
      <c r="S35" s="15">
        <v>286234.53000000003</v>
      </c>
      <c r="T35" s="15">
        <v>0</v>
      </c>
      <c r="U35" s="15">
        <v>58411.43</v>
      </c>
      <c r="V35" s="15">
        <v>0</v>
      </c>
      <c r="W35" s="15">
        <f t="shared" si="2"/>
        <v>46820610.429999992</v>
      </c>
      <c r="X35" s="15">
        <v>220512.87</v>
      </c>
      <c r="Y35" s="15">
        <v>0</v>
      </c>
      <c r="Z35" s="15">
        <v>386724.91</v>
      </c>
      <c r="AA35" s="15">
        <v>0</v>
      </c>
      <c r="AB35" s="15">
        <f t="shared" si="3"/>
        <v>607237.78</v>
      </c>
      <c r="AC35" s="15">
        <v>10084951.5</v>
      </c>
      <c r="AD35" s="15">
        <v>17357561.449999999</v>
      </c>
      <c r="AE35" s="15">
        <f>23871470.27</f>
        <v>23871470.27</v>
      </c>
      <c r="AF35" s="15">
        <f t="shared" si="4"/>
        <v>51313983.219999999</v>
      </c>
      <c r="AG35" s="15">
        <v>0</v>
      </c>
      <c r="AH35" s="15"/>
      <c r="AI35" s="15">
        <v>30887866.170000002</v>
      </c>
      <c r="AJ35" s="16"/>
      <c r="AK35" s="15">
        <f t="shared" si="5"/>
        <v>19535211.5</v>
      </c>
      <c r="AL35" s="17">
        <f t="shared" si="6"/>
        <v>47427848.209999993</v>
      </c>
      <c r="AM35" s="22">
        <v>0</v>
      </c>
      <c r="AN35" s="19"/>
      <c r="AO35" s="15">
        <f t="shared" si="7"/>
        <v>149164909.09999999</v>
      </c>
      <c r="AP35" s="15">
        <f t="shared" si="8"/>
        <v>118277042.92999999</v>
      </c>
      <c r="AQ35" s="15">
        <f t="shared" si="9"/>
        <v>66963059.709999993</v>
      </c>
    </row>
    <row r="36" spans="2:48" s="20" customFormat="1" x14ac:dyDescent="0.25">
      <c r="B36" s="28">
        <v>40391</v>
      </c>
      <c r="C36" s="15">
        <v>1861026.52</v>
      </c>
      <c r="D36" s="15">
        <v>0</v>
      </c>
      <c r="E36" s="15">
        <v>2433493.9300000002</v>
      </c>
      <c r="F36" s="15">
        <v>134399.35</v>
      </c>
      <c r="G36" s="15">
        <f t="shared" si="0"/>
        <v>4428919.8</v>
      </c>
      <c r="H36" s="15">
        <v>3623772.59</v>
      </c>
      <c r="I36" s="15">
        <v>292706.37</v>
      </c>
      <c r="J36" s="15">
        <v>4838929.4000000004</v>
      </c>
      <c r="K36" s="15">
        <f t="shared" si="1"/>
        <v>13184328.16</v>
      </c>
      <c r="L36" s="15">
        <v>0</v>
      </c>
      <c r="M36" s="15">
        <v>0</v>
      </c>
      <c r="N36" s="15">
        <v>24750433.210000001</v>
      </c>
      <c r="O36" s="15">
        <v>3153020.85</v>
      </c>
      <c r="P36" s="15">
        <v>255993.65</v>
      </c>
      <c r="Q36" s="15">
        <v>0</v>
      </c>
      <c r="R36" s="15">
        <v>450983.8</v>
      </c>
      <c r="S36" s="15">
        <v>124315.82</v>
      </c>
      <c r="T36" s="15">
        <v>0</v>
      </c>
      <c r="U36" s="15">
        <v>39878.65</v>
      </c>
      <c r="V36" s="15">
        <v>0</v>
      </c>
      <c r="W36" s="15">
        <f t="shared" si="2"/>
        <v>28774625.98</v>
      </c>
      <c r="X36" s="15">
        <v>74846.100000000006</v>
      </c>
      <c r="Y36" s="15">
        <v>0</v>
      </c>
      <c r="Z36" s="15">
        <v>228107.46</v>
      </c>
      <c r="AA36" s="15">
        <v>0</v>
      </c>
      <c r="AB36" s="15">
        <f t="shared" si="3"/>
        <v>302953.56</v>
      </c>
      <c r="AC36" s="15">
        <v>10084951.5</v>
      </c>
      <c r="AD36" s="15">
        <v>17357561.449999999</v>
      </c>
      <c r="AE36" s="15">
        <f>25038788.81</f>
        <v>25038788.809999999</v>
      </c>
      <c r="AF36" s="15">
        <f t="shared" si="4"/>
        <v>52481301.759999998</v>
      </c>
      <c r="AG36" s="15">
        <v>0</v>
      </c>
      <c r="AH36" s="15"/>
      <c r="AI36" s="15">
        <v>-10195681.99</v>
      </c>
      <c r="AJ36" s="16"/>
      <c r="AK36" s="15">
        <f t="shared" si="5"/>
        <v>13184328.16</v>
      </c>
      <c r="AL36" s="17">
        <f t="shared" si="6"/>
        <v>29077579.539999999</v>
      </c>
      <c r="AM36" s="22">
        <v>-44988.09</v>
      </c>
      <c r="AN36" s="19"/>
      <c r="AO36" s="15">
        <f t="shared" si="7"/>
        <v>84502539.379999995</v>
      </c>
      <c r="AP36" s="15">
        <f t="shared" si="8"/>
        <v>94743209.459999993</v>
      </c>
      <c r="AQ36" s="15">
        <f t="shared" si="9"/>
        <v>42261907.700000003</v>
      </c>
    </row>
    <row r="37" spans="2:48" s="20" customFormat="1" x14ac:dyDescent="0.25">
      <c r="B37" s="29">
        <v>40422</v>
      </c>
      <c r="C37" s="15">
        <v>1120790.92</v>
      </c>
      <c r="D37" s="15">
        <v>0</v>
      </c>
      <c r="E37" s="15">
        <v>2148101.56</v>
      </c>
      <c r="F37" s="15">
        <v>1069820.28</v>
      </c>
      <c r="G37" s="15">
        <f t="shared" si="0"/>
        <v>4338712.76</v>
      </c>
      <c r="H37" s="15">
        <v>2773058.78</v>
      </c>
      <c r="I37" s="15">
        <v>1032688.52</v>
      </c>
      <c r="J37" s="15">
        <v>5847451.96</v>
      </c>
      <c r="K37" s="15">
        <f t="shared" si="1"/>
        <v>13991912.02</v>
      </c>
      <c r="L37" s="15">
        <v>0</v>
      </c>
      <c r="M37" s="15">
        <v>0</v>
      </c>
      <c r="N37" s="15">
        <v>37971021.450000003</v>
      </c>
      <c r="O37" s="15">
        <v>4543378.3</v>
      </c>
      <c r="P37" s="15">
        <v>176612.69</v>
      </c>
      <c r="Q37" s="15">
        <v>0</v>
      </c>
      <c r="R37" s="15">
        <v>443703.45</v>
      </c>
      <c r="S37" s="15">
        <v>0</v>
      </c>
      <c r="T37" s="15">
        <v>0</v>
      </c>
      <c r="U37" s="15">
        <v>69231.350000000006</v>
      </c>
      <c r="V37" s="15">
        <v>0</v>
      </c>
      <c r="W37" s="15">
        <f t="shared" si="2"/>
        <v>43203947.240000002</v>
      </c>
      <c r="X37" s="15">
        <v>61896.53</v>
      </c>
      <c r="Y37" s="15">
        <v>0</v>
      </c>
      <c r="Z37" s="15">
        <v>263334.28999999998</v>
      </c>
      <c r="AA37" s="15">
        <v>0</v>
      </c>
      <c r="AB37" s="15">
        <f t="shared" si="3"/>
        <v>325230.81999999995</v>
      </c>
      <c r="AC37" s="15">
        <v>10084951.5</v>
      </c>
      <c r="AD37" s="15">
        <v>17357561.449999999</v>
      </c>
      <c r="AE37" s="15">
        <f>15538826.77</f>
        <v>15538826.77</v>
      </c>
      <c r="AF37" s="15">
        <f t="shared" si="4"/>
        <v>42981339.719999999</v>
      </c>
      <c r="AG37" s="15">
        <v>0</v>
      </c>
      <c r="AH37" s="15"/>
      <c r="AI37" s="15">
        <v>9879932.2599999998</v>
      </c>
      <c r="AJ37" s="16"/>
      <c r="AK37" s="15">
        <f t="shared" si="5"/>
        <v>13991912.02</v>
      </c>
      <c r="AL37" s="17">
        <f t="shared" si="6"/>
        <v>43529178.060000002</v>
      </c>
      <c r="AM37" s="22">
        <v>-41633.67</v>
      </c>
      <c r="AN37" s="19"/>
      <c r="AO37" s="15">
        <f t="shared" si="7"/>
        <v>110340728.39</v>
      </c>
      <c r="AP37" s="15">
        <f t="shared" si="8"/>
        <v>100502429.8</v>
      </c>
      <c r="AQ37" s="15">
        <f t="shared" si="9"/>
        <v>57521090.079999998</v>
      </c>
    </row>
    <row r="38" spans="2:48" s="20" customFormat="1" x14ac:dyDescent="0.25">
      <c r="B38" s="30">
        <v>40452</v>
      </c>
      <c r="C38" s="15">
        <v>1481105.57</v>
      </c>
      <c r="D38" s="15">
        <v>0</v>
      </c>
      <c r="E38" s="15">
        <v>3836561.06</v>
      </c>
      <c r="F38" s="15">
        <v>456854.6</v>
      </c>
      <c r="G38" s="15">
        <f t="shared" si="0"/>
        <v>5774521.2299999995</v>
      </c>
      <c r="H38" s="15">
        <v>3466521.83</v>
      </c>
      <c r="I38" s="15">
        <v>1074636.3600000001</v>
      </c>
      <c r="J38" s="15">
        <v>1936581.92</v>
      </c>
      <c r="K38" s="15">
        <f t="shared" si="1"/>
        <v>12252261.339999998</v>
      </c>
      <c r="L38" s="15">
        <v>0</v>
      </c>
      <c r="M38" s="15">
        <v>0</v>
      </c>
      <c r="N38" s="15">
        <v>42746151.719999999</v>
      </c>
      <c r="O38" s="15">
        <v>4630454.26</v>
      </c>
      <c r="P38" s="15">
        <v>176709.84</v>
      </c>
      <c r="Q38" s="15">
        <v>0</v>
      </c>
      <c r="R38" s="15">
        <v>0</v>
      </c>
      <c r="S38" s="15">
        <v>258869.24</v>
      </c>
      <c r="T38" s="15">
        <v>0</v>
      </c>
      <c r="U38" s="15">
        <v>60095.34</v>
      </c>
      <c r="V38" s="15">
        <v>0</v>
      </c>
      <c r="W38" s="15">
        <f t="shared" si="2"/>
        <v>47872280.400000006</v>
      </c>
      <c r="X38" s="15">
        <v>43057.51</v>
      </c>
      <c r="Y38" s="15">
        <v>0</v>
      </c>
      <c r="Z38" s="15">
        <v>235280.35</v>
      </c>
      <c r="AA38" s="15">
        <v>0</v>
      </c>
      <c r="AB38" s="15">
        <f t="shared" si="3"/>
        <v>278337.86</v>
      </c>
      <c r="AC38" s="15">
        <v>10084951.5</v>
      </c>
      <c r="AD38" s="15">
        <v>17357561.449999999</v>
      </c>
      <c r="AE38" s="15">
        <v>6902707</v>
      </c>
      <c r="AF38" s="15">
        <f t="shared" si="4"/>
        <v>34345219.950000003</v>
      </c>
      <c r="AG38" s="15">
        <v>0</v>
      </c>
      <c r="AH38" s="15"/>
      <c r="AI38" s="15">
        <v>0</v>
      </c>
      <c r="AJ38" s="16"/>
      <c r="AK38" s="15">
        <f t="shared" si="5"/>
        <v>12252261.339999998</v>
      </c>
      <c r="AL38" s="17">
        <f t="shared" si="6"/>
        <v>48150618.260000005</v>
      </c>
      <c r="AM38" s="22">
        <v>-4737.1099999999997</v>
      </c>
      <c r="AN38" s="19"/>
      <c r="AO38" s="15">
        <f t="shared" si="7"/>
        <v>94743362.440000013</v>
      </c>
      <c r="AP38" s="15">
        <f t="shared" si="8"/>
        <v>94748099.550000012</v>
      </c>
      <c r="AQ38" s="15">
        <f t="shared" si="9"/>
        <v>60402879.600000001</v>
      </c>
    </row>
    <row r="39" spans="2:48" s="20" customFormat="1" x14ac:dyDescent="0.25">
      <c r="B39" s="31">
        <v>40483</v>
      </c>
      <c r="C39" s="15">
        <v>1347377.59</v>
      </c>
      <c r="D39" s="15">
        <v>0</v>
      </c>
      <c r="E39" s="15">
        <v>2535839.69</v>
      </c>
      <c r="F39" s="15">
        <v>980155.88000000012</v>
      </c>
      <c r="G39" s="15">
        <f t="shared" si="0"/>
        <v>4863373.16</v>
      </c>
      <c r="H39" s="15">
        <v>4272138.66</v>
      </c>
      <c r="I39" s="15">
        <v>947924.45</v>
      </c>
      <c r="J39" s="15">
        <v>4700701.01</v>
      </c>
      <c r="K39" s="15">
        <f t="shared" si="1"/>
        <v>14784137.279999999</v>
      </c>
      <c r="L39" s="15">
        <v>0</v>
      </c>
      <c r="M39" s="15">
        <v>0</v>
      </c>
      <c r="N39" s="15">
        <v>60736641.020000003</v>
      </c>
      <c r="O39" s="15">
        <v>3525947.43</v>
      </c>
      <c r="P39" s="15">
        <v>262704.83</v>
      </c>
      <c r="Q39" s="15">
        <v>0</v>
      </c>
      <c r="R39" s="15">
        <v>312534.89</v>
      </c>
      <c r="S39" s="15">
        <v>113536.66</v>
      </c>
      <c r="T39" s="15">
        <v>0</v>
      </c>
      <c r="U39" s="15">
        <v>39763.54</v>
      </c>
      <c r="V39" s="15">
        <v>0</v>
      </c>
      <c r="W39" s="15">
        <f t="shared" si="2"/>
        <v>64991128.369999997</v>
      </c>
      <c r="X39" s="15">
        <v>93608.46</v>
      </c>
      <c r="Y39" s="15">
        <v>0</v>
      </c>
      <c r="Z39" s="15">
        <v>271027.12</v>
      </c>
      <c r="AA39" s="15">
        <v>13269</v>
      </c>
      <c r="AB39" s="15">
        <f t="shared" si="3"/>
        <v>377904.58</v>
      </c>
      <c r="AC39" s="15">
        <v>10084949.5</v>
      </c>
      <c r="AD39" s="15">
        <v>17357561.449999999</v>
      </c>
      <c r="AE39" s="15">
        <v>34270521.210000001</v>
      </c>
      <c r="AF39" s="15">
        <f t="shared" si="4"/>
        <v>61713032.159999996</v>
      </c>
      <c r="AG39" s="15">
        <v>0</v>
      </c>
      <c r="AH39" s="15"/>
      <c r="AI39" s="15">
        <v>0</v>
      </c>
      <c r="AJ39" s="16"/>
      <c r="AK39" s="15">
        <f t="shared" si="5"/>
        <v>14784137.279999999</v>
      </c>
      <c r="AL39" s="17">
        <f t="shared" si="6"/>
        <v>65369032.949999996</v>
      </c>
      <c r="AM39" s="22">
        <v>-4264.59</v>
      </c>
      <c r="AN39" s="19"/>
      <c r="AO39" s="15">
        <f t="shared" si="7"/>
        <v>141861937.79999998</v>
      </c>
      <c r="AP39" s="15">
        <f t="shared" si="8"/>
        <v>141866202.38999999</v>
      </c>
      <c r="AQ39" s="15">
        <f t="shared" si="9"/>
        <v>80153170.229999989</v>
      </c>
    </row>
    <row r="40" spans="2:48" s="20" customFormat="1" x14ac:dyDescent="0.25">
      <c r="B40" s="32">
        <v>40513</v>
      </c>
      <c r="C40" s="15">
        <v>1662085.28</v>
      </c>
      <c r="D40" s="15">
        <v>0</v>
      </c>
      <c r="E40" s="15">
        <v>4293276.88</v>
      </c>
      <c r="F40" s="15">
        <v>15007.2</v>
      </c>
      <c r="G40" s="15">
        <f t="shared" si="0"/>
        <v>5970369.3600000003</v>
      </c>
      <c r="H40" s="15">
        <v>4521394.5199999996</v>
      </c>
      <c r="I40" s="15">
        <v>9663730.8000000007</v>
      </c>
      <c r="J40" s="15">
        <v>3011677.84</v>
      </c>
      <c r="K40" s="15">
        <f t="shared" si="1"/>
        <v>23167172.52</v>
      </c>
      <c r="L40" s="15">
        <v>0</v>
      </c>
      <c r="M40" s="15">
        <v>0</v>
      </c>
      <c r="N40" s="15">
        <v>106630860.84</v>
      </c>
      <c r="O40" s="15">
        <v>4247036.47</v>
      </c>
      <c r="P40" s="15">
        <v>353225.38</v>
      </c>
      <c r="Q40" s="15">
        <v>374216.14</v>
      </c>
      <c r="R40" s="15">
        <v>349056.47</v>
      </c>
      <c r="S40" s="15">
        <v>140260.01999999999</v>
      </c>
      <c r="T40" s="15">
        <v>0</v>
      </c>
      <c r="U40" s="15">
        <v>71766.28</v>
      </c>
      <c r="V40" s="15">
        <v>0</v>
      </c>
      <c r="W40" s="15">
        <f t="shared" si="2"/>
        <v>112166421.59999999</v>
      </c>
      <c r="X40" s="15">
        <v>632841.36</v>
      </c>
      <c r="Y40" s="15">
        <v>0</v>
      </c>
      <c r="Z40" s="15">
        <v>373622.7</v>
      </c>
      <c r="AA40" s="15">
        <v>12273</v>
      </c>
      <c r="AB40" s="15">
        <f t="shared" si="3"/>
        <v>1018737.06</v>
      </c>
      <c r="AC40" s="15">
        <v>0</v>
      </c>
      <c r="AD40" s="15">
        <v>34715122.5</v>
      </c>
      <c r="AE40" s="15">
        <v>52684474.18</v>
      </c>
      <c r="AF40" s="15">
        <f t="shared" si="4"/>
        <v>87399596.680000007</v>
      </c>
      <c r="AG40" s="15">
        <v>0</v>
      </c>
      <c r="AH40" s="15"/>
      <c r="AI40" s="15">
        <f>50000000+4172830.32</f>
        <v>54172830.32</v>
      </c>
      <c r="AJ40" s="16"/>
      <c r="AK40" s="15">
        <f t="shared" si="5"/>
        <v>23167172.52</v>
      </c>
      <c r="AL40" s="17">
        <f t="shared" si="6"/>
        <v>113185158.66</v>
      </c>
      <c r="AM40" s="22">
        <v>-800338.14</v>
      </c>
      <c r="AN40" s="19"/>
      <c r="AO40" s="15">
        <f t="shared" si="7"/>
        <v>277124420.04000002</v>
      </c>
      <c r="AP40" s="15">
        <f t="shared" si="8"/>
        <v>223751927.86000001</v>
      </c>
      <c r="AQ40" s="15">
        <f t="shared" si="9"/>
        <v>136352331.18000001</v>
      </c>
    </row>
    <row r="41" spans="2:48" s="20" customFormat="1" x14ac:dyDescent="0.25">
      <c r="B41" s="14">
        <v>40544</v>
      </c>
      <c r="C41" s="15">
        <v>49040130.039999999</v>
      </c>
      <c r="D41" s="15">
        <v>0</v>
      </c>
      <c r="E41" s="15">
        <v>2149466.54</v>
      </c>
      <c r="F41" s="15">
        <v>65673.2</v>
      </c>
      <c r="G41" s="15">
        <f t="shared" si="0"/>
        <v>51255269.780000001</v>
      </c>
      <c r="H41" s="15">
        <v>4954124.87</v>
      </c>
      <c r="I41" s="15">
        <v>378713.36</v>
      </c>
      <c r="J41" s="15">
        <v>1370591.86</v>
      </c>
      <c r="K41" s="15">
        <f t="shared" si="1"/>
        <v>57958699.869999997</v>
      </c>
      <c r="L41" s="15">
        <v>0</v>
      </c>
      <c r="M41" s="15">
        <v>0</v>
      </c>
      <c r="N41" s="15">
        <v>37170990.829999998</v>
      </c>
      <c r="O41" s="15">
        <v>4523634.75</v>
      </c>
      <c r="P41" s="15">
        <v>0</v>
      </c>
      <c r="Q41" s="15">
        <v>752173.51</v>
      </c>
      <c r="R41" s="15">
        <v>346769.51</v>
      </c>
      <c r="S41" s="15">
        <v>0</v>
      </c>
      <c r="T41" s="15">
        <v>0</v>
      </c>
      <c r="U41" s="15">
        <v>60645.87</v>
      </c>
      <c r="V41" s="15">
        <v>0</v>
      </c>
      <c r="W41" s="15">
        <f t="shared" si="2"/>
        <v>42854214.469999991</v>
      </c>
      <c r="X41" s="15">
        <v>0</v>
      </c>
      <c r="Y41" s="15">
        <v>0</v>
      </c>
      <c r="Z41" s="15">
        <v>0</v>
      </c>
      <c r="AA41" s="15">
        <v>0</v>
      </c>
      <c r="AB41" s="15">
        <f t="shared" si="3"/>
        <v>0</v>
      </c>
      <c r="AC41" s="15">
        <v>0</v>
      </c>
      <c r="AD41" s="15">
        <v>0</v>
      </c>
      <c r="AE41" s="15">
        <v>2353477.7400000002</v>
      </c>
      <c r="AF41" s="15">
        <f t="shared" si="4"/>
        <v>2353477.7400000002</v>
      </c>
      <c r="AG41" s="15">
        <v>0</v>
      </c>
      <c r="AH41" s="15"/>
      <c r="AI41" s="15">
        <v>7128713.3899999997</v>
      </c>
      <c r="AJ41" s="16"/>
      <c r="AK41" s="15">
        <f t="shared" si="5"/>
        <v>57958699.869999997</v>
      </c>
      <c r="AL41" s="17">
        <f t="shared" si="6"/>
        <v>42854214.469999991</v>
      </c>
      <c r="AM41" s="22">
        <v>-171.37</v>
      </c>
      <c r="AN41" s="19"/>
      <c r="AO41" s="15">
        <f t="shared" si="7"/>
        <v>110294934.09999999</v>
      </c>
      <c r="AP41" s="15">
        <f t="shared" si="8"/>
        <v>103166392.08</v>
      </c>
      <c r="AQ41" s="15">
        <f t="shared" si="9"/>
        <v>100812914.33999999</v>
      </c>
    </row>
    <row r="42" spans="2:48" s="20" customFormat="1" x14ac:dyDescent="0.25">
      <c r="B42" s="21">
        <v>40575</v>
      </c>
      <c r="C42" s="15">
        <v>9421418.5299999993</v>
      </c>
      <c r="D42" s="15">
        <v>0</v>
      </c>
      <c r="E42" s="15">
        <v>2068326.95</v>
      </c>
      <c r="F42" s="15">
        <v>93172.2</v>
      </c>
      <c r="G42" s="15">
        <f t="shared" si="0"/>
        <v>11582917.679999998</v>
      </c>
      <c r="H42" s="15">
        <v>4639702.1100000003</v>
      </c>
      <c r="I42" s="15">
        <v>757169.18</v>
      </c>
      <c r="J42" s="15">
        <v>2203035.9</v>
      </c>
      <c r="K42" s="15">
        <f t="shared" si="1"/>
        <v>19182824.869999997</v>
      </c>
      <c r="L42" s="15">
        <v>0</v>
      </c>
      <c r="M42" s="15">
        <v>0</v>
      </c>
      <c r="N42" s="15">
        <v>39225817.729999997</v>
      </c>
      <c r="O42" s="15">
        <v>6844684.9800000004</v>
      </c>
      <c r="P42" s="15">
        <v>282236.96999999997</v>
      </c>
      <c r="Q42" s="15">
        <v>731712.18</v>
      </c>
      <c r="R42" s="15">
        <v>619885.13</v>
      </c>
      <c r="S42" s="15">
        <v>129710.81</v>
      </c>
      <c r="T42" s="15">
        <v>0</v>
      </c>
      <c r="U42" s="15">
        <v>58536.59</v>
      </c>
      <c r="V42" s="15">
        <v>0</v>
      </c>
      <c r="W42" s="15">
        <f t="shared" si="2"/>
        <v>47892584.390000001</v>
      </c>
      <c r="X42" s="15">
        <v>4766679.0599999996</v>
      </c>
      <c r="Y42" s="15">
        <v>0</v>
      </c>
      <c r="Z42" s="15">
        <v>888235.26</v>
      </c>
      <c r="AA42" s="15">
        <v>0</v>
      </c>
      <c r="AB42" s="15">
        <f t="shared" si="3"/>
        <v>5654914.3199999994</v>
      </c>
      <c r="AC42" s="15">
        <v>11217184.970000001</v>
      </c>
      <c r="AD42" s="15">
        <v>19464451.5</v>
      </c>
      <c r="AE42" s="15">
        <v>0</v>
      </c>
      <c r="AF42" s="15">
        <f t="shared" si="4"/>
        <v>30681636.469999999</v>
      </c>
      <c r="AG42" s="15">
        <v>0</v>
      </c>
      <c r="AH42" s="15">
        <v>54865.740000000005</v>
      </c>
      <c r="AI42" s="15">
        <v>0</v>
      </c>
      <c r="AJ42" s="16"/>
      <c r="AK42" s="15">
        <f t="shared" si="5"/>
        <v>19182824.869999997</v>
      </c>
      <c r="AL42" s="17">
        <f t="shared" si="6"/>
        <v>53547498.710000001</v>
      </c>
      <c r="AM42" s="22">
        <v>-2116.31</v>
      </c>
      <c r="AN42" s="19"/>
      <c r="AO42" s="15">
        <f t="shared" si="7"/>
        <v>103464709.47999999</v>
      </c>
      <c r="AP42" s="15">
        <f t="shared" si="8"/>
        <v>103466825.78999999</v>
      </c>
      <c r="AQ42" s="15">
        <f t="shared" si="9"/>
        <v>72730323.579999998</v>
      </c>
      <c r="AU42" s="33"/>
      <c r="AV42" s="33"/>
    </row>
    <row r="43" spans="2:48" s="20" customFormat="1" x14ac:dyDescent="0.25">
      <c r="B43" s="23">
        <v>40603</v>
      </c>
      <c r="C43" s="15">
        <v>7934780.2800000003</v>
      </c>
      <c r="D43" s="15">
        <v>0</v>
      </c>
      <c r="E43" s="15">
        <v>2105029.98</v>
      </c>
      <c r="F43" s="15">
        <v>43665.25</v>
      </c>
      <c r="G43" s="15">
        <f t="shared" si="0"/>
        <v>10083475.51</v>
      </c>
      <c r="H43" s="15">
        <v>4736039.71</v>
      </c>
      <c r="I43" s="15">
        <v>728497.44</v>
      </c>
      <c r="J43" s="15">
        <v>1420526.22</v>
      </c>
      <c r="K43" s="15">
        <f t="shared" si="1"/>
        <v>16968538.879999999</v>
      </c>
      <c r="L43" s="15">
        <v>0</v>
      </c>
      <c r="M43" s="15">
        <v>0</v>
      </c>
      <c r="N43" s="15">
        <v>51940170.770000003</v>
      </c>
      <c r="O43" s="15">
        <v>4772264.4000000004</v>
      </c>
      <c r="P43" s="15">
        <v>176612.69</v>
      </c>
      <c r="Q43" s="15">
        <v>757955.81</v>
      </c>
      <c r="R43" s="15">
        <v>134101.76000000001</v>
      </c>
      <c r="S43" s="15">
        <v>244748.14</v>
      </c>
      <c r="T43" s="15">
        <v>0</v>
      </c>
      <c r="U43" s="15">
        <v>68862.789999999994</v>
      </c>
      <c r="V43" s="15">
        <v>0</v>
      </c>
      <c r="W43" s="15">
        <f t="shared" si="2"/>
        <v>58094716.359999999</v>
      </c>
      <c r="X43" s="15">
        <v>3274185.26</v>
      </c>
      <c r="Y43" s="15">
        <v>0</v>
      </c>
      <c r="Z43" s="15">
        <v>441078.69</v>
      </c>
      <c r="AA43" s="15">
        <v>0</v>
      </c>
      <c r="AB43" s="15">
        <f t="shared" si="3"/>
        <v>3715263.9499999997</v>
      </c>
      <c r="AC43" s="15">
        <v>11217184.970000001</v>
      </c>
      <c r="AD43" s="15">
        <v>19464451.5</v>
      </c>
      <c r="AE43" s="15">
        <v>0</v>
      </c>
      <c r="AF43" s="15">
        <f t="shared" si="4"/>
        <v>30681636.469999999</v>
      </c>
      <c r="AG43" s="15">
        <v>0</v>
      </c>
      <c r="AH43" s="15">
        <v>20882.759999999998</v>
      </c>
      <c r="AI43" s="15">
        <v>0</v>
      </c>
      <c r="AJ43" s="16"/>
      <c r="AK43" s="15">
        <f t="shared" si="5"/>
        <v>16968538.879999999</v>
      </c>
      <c r="AL43" s="17">
        <f t="shared" si="6"/>
        <v>61809980.310000002</v>
      </c>
      <c r="AM43" s="22">
        <v>-259944.79</v>
      </c>
      <c r="AN43" s="19"/>
      <c r="AO43" s="15">
        <f t="shared" si="7"/>
        <v>109221093.63</v>
      </c>
      <c r="AP43" s="15">
        <f t="shared" si="8"/>
        <v>109481038.42</v>
      </c>
      <c r="AQ43" s="15">
        <f t="shared" si="9"/>
        <v>78778519.189999998</v>
      </c>
      <c r="AU43" s="33"/>
      <c r="AV43" s="33"/>
    </row>
    <row r="44" spans="2:48" s="20" customFormat="1" x14ac:dyDescent="0.25">
      <c r="B44" s="24">
        <v>40634</v>
      </c>
      <c r="C44" s="15">
        <v>2416213.71</v>
      </c>
      <c r="D44" s="15">
        <v>0</v>
      </c>
      <c r="E44" s="15">
        <v>2453188.7999999998</v>
      </c>
      <c r="F44" s="15">
        <v>2520</v>
      </c>
      <c r="G44" s="15">
        <f t="shared" si="0"/>
        <v>4871922.51</v>
      </c>
      <c r="H44" s="15">
        <v>3012797.03</v>
      </c>
      <c r="I44" s="15">
        <v>407059.32</v>
      </c>
      <c r="J44" s="15">
        <v>3062277.95</v>
      </c>
      <c r="K44" s="15">
        <f t="shared" si="1"/>
        <v>11354056.809999999</v>
      </c>
      <c r="L44" s="15">
        <v>0</v>
      </c>
      <c r="M44" s="15">
        <v>0</v>
      </c>
      <c r="N44" s="15">
        <v>31943583.530000001</v>
      </c>
      <c r="O44" s="15">
        <v>5455348.8899999997</v>
      </c>
      <c r="P44" s="15">
        <v>176612.67</v>
      </c>
      <c r="Q44" s="15">
        <v>697847.03</v>
      </c>
      <c r="R44" s="15">
        <v>306697.40000000002</v>
      </c>
      <c r="S44" s="15">
        <v>126089.81</v>
      </c>
      <c r="T44" s="15">
        <v>0</v>
      </c>
      <c r="U44" s="15">
        <v>71605.17</v>
      </c>
      <c r="V44" s="15">
        <v>0</v>
      </c>
      <c r="W44" s="15">
        <f t="shared" si="2"/>
        <v>38777784.500000007</v>
      </c>
      <c r="X44" s="15">
        <v>1550818.87</v>
      </c>
      <c r="Y44" s="15">
        <v>0</v>
      </c>
      <c r="Z44" s="15">
        <v>304326.71000000002</v>
      </c>
      <c r="AA44" s="15">
        <v>0</v>
      </c>
      <c r="AB44" s="15">
        <f t="shared" si="3"/>
        <v>1855145.58</v>
      </c>
      <c r="AC44" s="15">
        <v>11217184.970000001</v>
      </c>
      <c r="AD44" s="15">
        <v>19464451.5</v>
      </c>
      <c r="AE44" s="15">
        <v>0</v>
      </c>
      <c r="AF44" s="15">
        <f t="shared" si="4"/>
        <v>30681636.469999999</v>
      </c>
      <c r="AG44" s="15">
        <v>0</v>
      </c>
      <c r="AH44" s="15">
        <v>48072.79</v>
      </c>
      <c r="AI44" s="15">
        <v>0</v>
      </c>
      <c r="AJ44" s="16"/>
      <c r="AK44" s="15">
        <f t="shared" si="5"/>
        <v>11354056.809999999</v>
      </c>
      <c r="AL44" s="17">
        <f t="shared" si="6"/>
        <v>40632930.080000006</v>
      </c>
      <c r="AM44" s="22">
        <v>-630</v>
      </c>
      <c r="AN44" s="19"/>
      <c r="AO44" s="15">
        <f t="shared" si="7"/>
        <v>82716066.150000006</v>
      </c>
      <c r="AP44" s="15">
        <f t="shared" si="8"/>
        <v>82716696.150000006</v>
      </c>
      <c r="AQ44" s="15">
        <f t="shared" si="9"/>
        <v>51986986.890000001</v>
      </c>
      <c r="AU44" s="33"/>
      <c r="AV44" s="33"/>
    </row>
    <row r="45" spans="2:48" s="20" customFormat="1" x14ac:dyDescent="0.25">
      <c r="B45" s="25">
        <v>40664</v>
      </c>
      <c r="C45" s="15">
        <v>2201300.17</v>
      </c>
      <c r="D45" s="15">
        <v>0</v>
      </c>
      <c r="E45" s="15">
        <v>3101541.19</v>
      </c>
      <c r="F45" s="15">
        <v>568696.9</v>
      </c>
      <c r="G45" s="15">
        <f t="shared" si="0"/>
        <v>5871538.2599999998</v>
      </c>
      <c r="H45" s="15">
        <v>3864910.15</v>
      </c>
      <c r="I45" s="15">
        <v>249977.31999999998</v>
      </c>
      <c r="J45" s="15">
        <v>12818020.24</v>
      </c>
      <c r="K45" s="15">
        <f t="shared" si="1"/>
        <v>22804445.969999999</v>
      </c>
      <c r="L45" s="15">
        <v>0</v>
      </c>
      <c r="M45" s="15">
        <v>0</v>
      </c>
      <c r="N45" s="15">
        <v>41712561.420000002</v>
      </c>
      <c r="O45" s="15">
        <v>4951717.05</v>
      </c>
      <c r="P45" s="15">
        <v>373739.3</v>
      </c>
      <c r="Q45" s="15">
        <v>687446.54</v>
      </c>
      <c r="R45" s="15">
        <v>332216.62</v>
      </c>
      <c r="S45" s="15">
        <v>109322.47</v>
      </c>
      <c r="T45" s="15">
        <v>0</v>
      </c>
      <c r="U45" s="15">
        <v>64028.98</v>
      </c>
      <c r="V45" s="15">
        <v>0</v>
      </c>
      <c r="W45" s="15">
        <f t="shared" si="2"/>
        <v>48231032.379999988</v>
      </c>
      <c r="X45" s="15">
        <v>738865.88</v>
      </c>
      <c r="Y45" s="15">
        <v>0</v>
      </c>
      <c r="Z45" s="15">
        <v>348109.94</v>
      </c>
      <c r="AA45" s="15">
        <v>0</v>
      </c>
      <c r="AB45" s="15">
        <f t="shared" si="3"/>
        <v>1086975.82</v>
      </c>
      <c r="AC45" s="15">
        <v>11217184.970000001</v>
      </c>
      <c r="AD45" s="15">
        <v>19464451.5</v>
      </c>
      <c r="AE45" s="15">
        <v>9023438.0700000003</v>
      </c>
      <c r="AF45" s="15">
        <f t="shared" si="4"/>
        <v>39705074.539999999</v>
      </c>
      <c r="AG45" s="15">
        <v>0</v>
      </c>
      <c r="AH45" s="15">
        <v>433191.01</v>
      </c>
      <c r="AI45" s="15">
        <v>0</v>
      </c>
      <c r="AJ45" s="16"/>
      <c r="AK45" s="15">
        <f t="shared" si="5"/>
        <v>22804445.969999999</v>
      </c>
      <c r="AL45" s="17">
        <f t="shared" si="6"/>
        <v>49318008.199999988</v>
      </c>
      <c r="AM45" s="22">
        <v>-266664.38</v>
      </c>
      <c r="AN45" s="19"/>
      <c r="AO45" s="15">
        <f t="shared" si="7"/>
        <v>111994055.33999999</v>
      </c>
      <c r="AP45" s="15">
        <f t="shared" si="8"/>
        <v>112260719.71999998</v>
      </c>
      <c r="AQ45" s="15">
        <f t="shared" si="9"/>
        <v>72122454.169999987</v>
      </c>
      <c r="AU45" s="33"/>
      <c r="AV45" s="33"/>
    </row>
    <row r="46" spans="2:48" s="20" customFormat="1" x14ac:dyDescent="0.25">
      <c r="B46" s="26">
        <v>40695</v>
      </c>
      <c r="C46" s="15">
        <v>2014819.15</v>
      </c>
      <c r="D46" s="15">
        <v>0</v>
      </c>
      <c r="E46" s="15">
        <v>3511594.44</v>
      </c>
      <c r="F46" s="15">
        <v>12608.640000000001</v>
      </c>
      <c r="G46" s="15">
        <f t="shared" si="0"/>
        <v>5539022.2299999995</v>
      </c>
      <c r="H46" s="15">
        <v>3894111.07</v>
      </c>
      <c r="I46" s="15">
        <v>937165.07</v>
      </c>
      <c r="J46" s="15">
        <v>1150370.3700000001</v>
      </c>
      <c r="K46" s="15">
        <f t="shared" si="1"/>
        <v>11520668.739999998</v>
      </c>
      <c r="L46" s="15">
        <v>0</v>
      </c>
      <c r="M46" s="15">
        <v>0</v>
      </c>
      <c r="N46" s="15">
        <v>34167696.399999999</v>
      </c>
      <c r="O46" s="15">
        <v>0</v>
      </c>
      <c r="P46" s="15">
        <v>182134.48</v>
      </c>
      <c r="Q46" s="15">
        <v>695851.15</v>
      </c>
      <c r="R46" s="15">
        <v>0</v>
      </c>
      <c r="S46" s="15">
        <v>139317.12</v>
      </c>
      <c r="T46" s="15">
        <v>0</v>
      </c>
      <c r="U46" s="15">
        <v>89277.95</v>
      </c>
      <c r="V46" s="15">
        <v>0</v>
      </c>
      <c r="W46" s="15">
        <f t="shared" si="2"/>
        <v>35274277.099999994</v>
      </c>
      <c r="X46" s="15">
        <v>585430.85</v>
      </c>
      <c r="Y46" s="15">
        <v>0</v>
      </c>
      <c r="Z46" s="15">
        <v>274987.87</v>
      </c>
      <c r="AA46" s="15">
        <v>0</v>
      </c>
      <c r="AB46" s="15">
        <f t="shared" si="3"/>
        <v>860418.72</v>
      </c>
      <c r="AC46" s="15">
        <v>11217184.970000001</v>
      </c>
      <c r="AD46" s="15">
        <v>19464451.5</v>
      </c>
      <c r="AE46" s="15">
        <f>12733862</f>
        <v>12733862</v>
      </c>
      <c r="AF46" s="15">
        <f t="shared" si="4"/>
        <v>43415498.469999999</v>
      </c>
      <c r="AG46" s="15">
        <v>0</v>
      </c>
      <c r="AH46" s="15">
        <v>13195.57</v>
      </c>
      <c r="AI46" s="15">
        <v>2100000</v>
      </c>
      <c r="AJ46" s="16"/>
      <c r="AK46" s="15">
        <f t="shared" si="5"/>
        <v>11520668.739999998</v>
      </c>
      <c r="AL46" s="17">
        <f t="shared" si="6"/>
        <v>36134695.819999993</v>
      </c>
      <c r="AM46" s="22">
        <v>-5684</v>
      </c>
      <c r="AN46" s="19"/>
      <c r="AO46" s="15">
        <f t="shared" si="7"/>
        <v>93178374.599999994</v>
      </c>
      <c r="AP46" s="15">
        <f t="shared" si="8"/>
        <v>91084058.599999994</v>
      </c>
      <c r="AQ46" s="15">
        <f t="shared" si="9"/>
        <v>47655364.559999987</v>
      </c>
      <c r="AU46" s="33"/>
      <c r="AV46" s="33"/>
    </row>
    <row r="47" spans="2:48" s="20" customFormat="1" x14ac:dyDescent="0.25">
      <c r="B47" s="27">
        <v>40725</v>
      </c>
      <c r="C47" s="15">
        <v>2069651.07</v>
      </c>
      <c r="D47" s="15">
        <v>0</v>
      </c>
      <c r="E47" s="15">
        <v>2889106.23</v>
      </c>
      <c r="F47" s="15">
        <v>393093.73999999993</v>
      </c>
      <c r="G47" s="15">
        <f t="shared" si="0"/>
        <v>5351851.04</v>
      </c>
      <c r="H47" s="15">
        <v>3557332.62</v>
      </c>
      <c r="I47" s="15">
        <v>965251.53</v>
      </c>
      <c r="J47" s="15">
        <v>1298020.8400000001</v>
      </c>
      <c r="K47" s="15">
        <f t="shared" si="1"/>
        <v>11172456.029999999</v>
      </c>
      <c r="L47" s="15">
        <v>0</v>
      </c>
      <c r="M47" s="15">
        <v>0</v>
      </c>
      <c r="N47" s="15">
        <v>51539430.329999998</v>
      </c>
      <c r="O47" s="15">
        <v>9488339.5700000003</v>
      </c>
      <c r="P47" s="15">
        <v>177316.95</v>
      </c>
      <c r="Q47" s="15">
        <v>735225.33</v>
      </c>
      <c r="R47" s="15">
        <v>1266775.6399999999</v>
      </c>
      <c r="S47" s="15">
        <v>134959.39000000001</v>
      </c>
      <c r="T47" s="15">
        <v>0</v>
      </c>
      <c r="U47" s="15">
        <v>84069.08</v>
      </c>
      <c r="V47" s="15">
        <v>0</v>
      </c>
      <c r="W47" s="15">
        <f t="shared" si="2"/>
        <v>63426116.289999999</v>
      </c>
      <c r="X47" s="15">
        <v>502873.86</v>
      </c>
      <c r="Y47" s="15">
        <v>0</v>
      </c>
      <c r="Z47" s="15">
        <v>316063.71000000002</v>
      </c>
      <c r="AA47" s="15">
        <v>0</v>
      </c>
      <c r="AB47" s="15">
        <f t="shared" si="3"/>
        <v>818937.57000000007</v>
      </c>
      <c r="AC47" s="15">
        <v>11217184.970000001</v>
      </c>
      <c r="AD47" s="15">
        <v>19464451.5</v>
      </c>
      <c r="AE47" s="15">
        <v>50300000</v>
      </c>
      <c r="AF47" s="15">
        <f t="shared" si="4"/>
        <v>80981636.469999999</v>
      </c>
      <c r="AG47" s="15">
        <v>0</v>
      </c>
      <c r="AH47" s="15">
        <v>0</v>
      </c>
      <c r="AI47" s="15">
        <f>2100000</f>
        <v>2100000</v>
      </c>
      <c r="AJ47" s="16"/>
      <c r="AK47" s="15">
        <f t="shared" si="5"/>
        <v>11172456.029999999</v>
      </c>
      <c r="AL47" s="17">
        <f t="shared" si="6"/>
        <v>64245053.859999999</v>
      </c>
      <c r="AM47" s="22">
        <v>0</v>
      </c>
      <c r="AN47" s="19"/>
      <c r="AO47" s="15">
        <f t="shared" si="7"/>
        <v>158499146.36000001</v>
      </c>
      <c r="AP47" s="15">
        <f t="shared" si="8"/>
        <v>156399146.36000001</v>
      </c>
      <c r="AQ47" s="15">
        <f t="shared" si="9"/>
        <v>75417509.890000001</v>
      </c>
      <c r="AU47" s="33"/>
      <c r="AV47" s="33"/>
    </row>
    <row r="48" spans="2:48" s="20" customFormat="1" x14ac:dyDescent="0.25">
      <c r="B48" s="28">
        <v>40756</v>
      </c>
      <c r="C48" s="15">
        <v>1768463.43</v>
      </c>
      <c r="D48" s="15">
        <v>0</v>
      </c>
      <c r="E48" s="15">
        <v>2263581.69</v>
      </c>
      <c r="F48" s="15">
        <v>436118.94</v>
      </c>
      <c r="G48" s="15">
        <f t="shared" si="0"/>
        <v>4468164.0600000005</v>
      </c>
      <c r="H48" s="15">
        <v>4505795.49</v>
      </c>
      <c r="I48" s="15">
        <v>355583.55999999994</v>
      </c>
      <c r="J48" s="15">
        <v>12567428.279999999</v>
      </c>
      <c r="K48" s="15">
        <f t="shared" si="1"/>
        <v>21896971.390000001</v>
      </c>
      <c r="L48" s="15">
        <v>0</v>
      </c>
      <c r="M48" s="15">
        <v>0</v>
      </c>
      <c r="N48" s="15">
        <v>47177487.170000002</v>
      </c>
      <c r="O48" s="15">
        <v>0</v>
      </c>
      <c r="P48" s="15">
        <v>176612.68</v>
      </c>
      <c r="Q48" s="15">
        <v>761949.59</v>
      </c>
      <c r="R48" s="15">
        <v>0</v>
      </c>
      <c r="S48" s="15">
        <v>119739.8</v>
      </c>
      <c r="T48" s="15">
        <v>0</v>
      </c>
      <c r="U48" s="15">
        <v>55150.1</v>
      </c>
      <c r="V48" s="15">
        <v>0</v>
      </c>
      <c r="W48" s="15">
        <f t="shared" si="2"/>
        <v>48290939.340000004</v>
      </c>
      <c r="X48" s="15">
        <v>436360.21</v>
      </c>
      <c r="Y48" s="15">
        <v>0</v>
      </c>
      <c r="Z48" s="15">
        <v>280258.26</v>
      </c>
      <c r="AA48" s="15">
        <v>0</v>
      </c>
      <c r="AB48" s="15">
        <f t="shared" si="3"/>
        <v>716618.47</v>
      </c>
      <c r="AC48" s="15">
        <v>11217184.970000001</v>
      </c>
      <c r="AD48" s="15">
        <v>19464451.5</v>
      </c>
      <c r="AE48" s="15">
        <v>0</v>
      </c>
      <c r="AF48" s="15">
        <f t="shared" si="4"/>
        <v>30681636.469999999</v>
      </c>
      <c r="AG48" s="15">
        <v>0</v>
      </c>
      <c r="AH48" s="15">
        <v>291076.17000000004</v>
      </c>
      <c r="AI48" s="15">
        <f>50000000+2100000</f>
        <v>52100000</v>
      </c>
      <c r="AJ48" s="16"/>
      <c r="AK48" s="15">
        <f t="shared" si="5"/>
        <v>21896971.390000001</v>
      </c>
      <c r="AL48" s="17">
        <f t="shared" si="6"/>
        <v>49007557.810000002</v>
      </c>
      <c r="AM48" s="22">
        <v>-16412</v>
      </c>
      <c r="AN48" s="19"/>
      <c r="AO48" s="15">
        <f t="shared" si="7"/>
        <v>153960829.84</v>
      </c>
      <c r="AP48" s="15">
        <f t="shared" si="8"/>
        <v>101877241.84</v>
      </c>
      <c r="AQ48" s="15">
        <f t="shared" si="9"/>
        <v>70904529.200000003</v>
      </c>
      <c r="AU48" s="33"/>
      <c r="AV48" s="33"/>
    </row>
    <row r="49" spans="2:48" s="20" customFormat="1" x14ac:dyDescent="0.25">
      <c r="B49" s="29">
        <v>40787</v>
      </c>
      <c r="C49" s="15">
        <v>1166136.33</v>
      </c>
      <c r="D49" s="15">
        <v>0</v>
      </c>
      <c r="E49" s="15">
        <v>3019123.72</v>
      </c>
      <c r="F49" s="15">
        <v>309347.87</v>
      </c>
      <c r="G49" s="15">
        <f t="shared" si="0"/>
        <v>4494607.92</v>
      </c>
      <c r="H49" s="15">
        <v>2726850.87</v>
      </c>
      <c r="I49" s="15">
        <v>1446865.45</v>
      </c>
      <c r="J49" s="15">
        <v>4764762.97</v>
      </c>
      <c r="K49" s="15">
        <f t="shared" si="1"/>
        <v>13433087.210000001</v>
      </c>
      <c r="L49" s="15">
        <v>0</v>
      </c>
      <c r="M49" s="15">
        <v>0</v>
      </c>
      <c r="N49" s="15">
        <v>26699149.02</v>
      </c>
      <c r="O49" s="15">
        <v>8311285.9900000002</v>
      </c>
      <c r="P49" s="15">
        <v>305083.90999999997</v>
      </c>
      <c r="Q49" s="15">
        <v>711392.58</v>
      </c>
      <c r="R49" s="15">
        <v>856080.2</v>
      </c>
      <c r="S49" s="15">
        <v>131849.39000000001</v>
      </c>
      <c r="T49" s="15">
        <v>0</v>
      </c>
      <c r="U49" s="15">
        <v>92271.78</v>
      </c>
      <c r="V49" s="15">
        <v>0</v>
      </c>
      <c r="W49" s="15">
        <f t="shared" si="2"/>
        <v>37107112.869999997</v>
      </c>
      <c r="X49" s="15">
        <v>1286941.05</v>
      </c>
      <c r="Y49" s="15">
        <v>0</v>
      </c>
      <c r="Z49" s="15">
        <v>263828.13</v>
      </c>
      <c r="AA49" s="15">
        <v>0</v>
      </c>
      <c r="AB49" s="15">
        <f t="shared" si="3"/>
        <v>1550769.1800000002</v>
      </c>
      <c r="AC49" s="15">
        <v>11217184.970000001</v>
      </c>
      <c r="AD49" s="15">
        <v>19464451.5</v>
      </c>
      <c r="AE49" s="15">
        <v>8658409.8000000007</v>
      </c>
      <c r="AF49" s="15">
        <f t="shared" si="4"/>
        <v>39340046.269999996</v>
      </c>
      <c r="AG49" s="15">
        <v>0</v>
      </c>
      <c r="AH49" s="15">
        <v>25735.27</v>
      </c>
      <c r="AI49" s="15">
        <v>3366561</v>
      </c>
      <c r="AJ49" s="16"/>
      <c r="AK49" s="15">
        <f t="shared" si="5"/>
        <v>13433087.210000001</v>
      </c>
      <c r="AL49" s="17">
        <f t="shared" si="6"/>
        <v>38657882.049999997</v>
      </c>
      <c r="AM49" s="22">
        <v>-282346.68</v>
      </c>
      <c r="AN49" s="19"/>
      <c r="AO49" s="15">
        <f t="shared" si="7"/>
        <v>94540965.11999999</v>
      </c>
      <c r="AP49" s="15">
        <f t="shared" si="8"/>
        <v>91456750.799999997</v>
      </c>
      <c r="AQ49" s="15">
        <f t="shared" si="9"/>
        <v>52090969.259999998</v>
      </c>
      <c r="AU49" s="33"/>
      <c r="AV49" s="33"/>
    </row>
    <row r="50" spans="2:48" s="20" customFormat="1" x14ac:dyDescent="0.25">
      <c r="B50" s="30">
        <v>40817</v>
      </c>
      <c r="C50" s="15">
        <v>1250940.51</v>
      </c>
      <c r="D50" s="15">
        <v>0</v>
      </c>
      <c r="E50" s="15">
        <v>2247178.61</v>
      </c>
      <c r="F50" s="15">
        <v>1720523.4700000002</v>
      </c>
      <c r="G50" s="15">
        <f t="shared" si="0"/>
        <v>5218642.59</v>
      </c>
      <c r="H50" s="15">
        <v>2302914.88</v>
      </c>
      <c r="I50" s="15">
        <v>1430027.08</v>
      </c>
      <c r="J50" s="15">
        <v>4876549.04</v>
      </c>
      <c r="K50" s="15">
        <f t="shared" si="1"/>
        <v>13828133.59</v>
      </c>
      <c r="L50" s="15">
        <v>0</v>
      </c>
      <c r="M50" s="15">
        <v>0</v>
      </c>
      <c r="N50" s="15">
        <v>61099221.859999999</v>
      </c>
      <c r="O50" s="15">
        <v>4678341.1500000004</v>
      </c>
      <c r="P50" s="15">
        <v>176612.68</v>
      </c>
      <c r="Q50" s="15">
        <v>733847.32</v>
      </c>
      <c r="R50" s="15">
        <v>579053.57999999996</v>
      </c>
      <c r="S50" s="15">
        <v>112265.21</v>
      </c>
      <c r="T50" s="15">
        <v>0</v>
      </c>
      <c r="U50" s="15">
        <v>80481.210000000006</v>
      </c>
      <c r="V50" s="15">
        <v>0</v>
      </c>
      <c r="W50" s="15">
        <f t="shared" si="2"/>
        <v>67459823.00999999</v>
      </c>
      <c r="X50" s="15">
        <v>415155.62</v>
      </c>
      <c r="Y50" s="15">
        <v>0</v>
      </c>
      <c r="Z50" s="15">
        <v>313287.48</v>
      </c>
      <c r="AA50" s="15">
        <v>0</v>
      </c>
      <c r="AB50" s="15">
        <f t="shared" si="3"/>
        <v>728443.1</v>
      </c>
      <c r="AC50" s="15">
        <v>11217184.970000001</v>
      </c>
      <c r="AD50" s="15">
        <v>19464451.5</v>
      </c>
      <c r="AE50" s="15">
        <f>11344371.21</f>
        <v>11344371.210000001</v>
      </c>
      <c r="AF50" s="15">
        <f t="shared" si="4"/>
        <v>42026007.68</v>
      </c>
      <c r="AG50" s="15">
        <v>0</v>
      </c>
      <c r="AH50" s="15">
        <v>191403.1</v>
      </c>
      <c r="AI50" s="15">
        <v>250350000</v>
      </c>
      <c r="AJ50" s="16"/>
      <c r="AK50" s="15">
        <f t="shared" si="5"/>
        <v>13828133.59</v>
      </c>
      <c r="AL50" s="17">
        <f t="shared" si="6"/>
        <v>68188266.109999985</v>
      </c>
      <c r="AM50" s="22">
        <v>0</v>
      </c>
      <c r="AN50" s="19"/>
      <c r="AO50" s="15">
        <f t="shared" si="7"/>
        <v>374583810.4799999</v>
      </c>
      <c r="AP50" s="15">
        <f t="shared" si="8"/>
        <v>124233810.4799999</v>
      </c>
      <c r="AQ50" s="15">
        <f t="shared" si="9"/>
        <v>82016399.699999988</v>
      </c>
      <c r="AU50" s="33"/>
      <c r="AV50" s="33"/>
    </row>
    <row r="51" spans="2:48" s="20" customFormat="1" x14ac:dyDescent="0.25">
      <c r="B51" s="31">
        <v>40848</v>
      </c>
      <c r="C51" s="15">
        <v>1310156.72</v>
      </c>
      <c r="D51" s="15">
        <v>0</v>
      </c>
      <c r="E51" s="15">
        <v>2742662.33</v>
      </c>
      <c r="F51" s="15">
        <v>711147.75</v>
      </c>
      <c r="G51" s="15">
        <f t="shared" si="0"/>
        <v>4763966.8</v>
      </c>
      <c r="H51" s="15">
        <v>2272333.89</v>
      </c>
      <c r="I51" s="15">
        <v>1016891.3699999999</v>
      </c>
      <c r="J51" s="15">
        <v>2495157.85</v>
      </c>
      <c r="K51" s="15">
        <f t="shared" si="1"/>
        <v>10548349.91</v>
      </c>
      <c r="L51" s="15">
        <v>0</v>
      </c>
      <c r="M51" s="15">
        <v>0</v>
      </c>
      <c r="N51" s="15">
        <v>75832216.799999997</v>
      </c>
      <c r="O51" s="15">
        <v>4332769.49</v>
      </c>
      <c r="P51" s="15">
        <v>291464.38</v>
      </c>
      <c r="Q51" s="15">
        <v>702139.06</v>
      </c>
      <c r="R51" s="15">
        <v>404880.58</v>
      </c>
      <c r="S51" s="15">
        <v>133348.4</v>
      </c>
      <c r="T51" s="15">
        <v>0</v>
      </c>
      <c r="U51" s="15">
        <v>64661.48</v>
      </c>
      <c r="V51" s="15">
        <v>0</v>
      </c>
      <c r="W51" s="15">
        <f t="shared" si="2"/>
        <v>81761480.189999998</v>
      </c>
      <c r="X51" s="15">
        <v>422832.11</v>
      </c>
      <c r="Y51" s="15">
        <v>0</v>
      </c>
      <c r="Z51" s="15">
        <v>258445.11</v>
      </c>
      <c r="AA51" s="15">
        <v>0</v>
      </c>
      <c r="AB51" s="15">
        <f t="shared" si="3"/>
        <v>681277.22</v>
      </c>
      <c r="AC51" s="15">
        <v>11217184.869999999</v>
      </c>
      <c r="AD51" s="15">
        <v>19464451.5</v>
      </c>
      <c r="AE51" s="15">
        <v>31115243.390000001</v>
      </c>
      <c r="AF51" s="15">
        <f t="shared" si="4"/>
        <v>61796879.759999998</v>
      </c>
      <c r="AG51" s="15">
        <v>0</v>
      </c>
      <c r="AH51" s="15">
        <v>1525612.93</v>
      </c>
      <c r="AI51" s="15">
        <v>0</v>
      </c>
      <c r="AJ51" s="16"/>
      <c r="AK51" s="15">
        <f t="shared" si="5"/>
        <v>10548349.91</v>
      </c>
      <c r="AL51" s="17">
        <f t="shared" si="6"/>
        <v>82442757.409999996</v>
      </c>
      <c r="AM51" s="22">
        <v>0</v>
      </c>
      <c r="AN51" s="19"/>
      <c r="AO51" s="15">
        <f t="shared" si="7"/>
        <v>156313600.00999999</v>
      </c>
      <c r="AP51" s="15">
        <f t="shared" si="8"/>
        <v>156313600.00999999</v>
      </c>
      <c r="AQ51" s="15">
        <f t="shared" si="9"/>
        <v>92991107.319999993</v>
      </c>
      <c r="AU51" s="33"/>
      <c r="AV51" s="33"/>
    </row>
    <row r="52" spans="2:48" s="20" customFormat="1" x14ac:dyDescent="0.25">
      <c r="B52" s="32">
        <v>40878</v>
      </c>
      <c r="C52" s="15">
        <v>1932593.71</v>
      </c>
      <c r="D52" s="15">
        <v>0</v>
      </c>
      <c r="E52" s="15">
        <v>3896470.45</v>
      </c>
      <c r="F52" s="15">
        <v>59248.479999999996</v>
      </c>
      <c r="G52" s="15">
        <f t="shared" si="0"/>
        <v>5888312.6400000006</v>
      </c>
      <c r="H52" s="15">
        <v>3768465.92</v>
      </c>
      <c r="I52" s="15">
        <v>11653628.9</v>
      </c>
      <c r="J52" s="15">
        <v>19044145.219999999</v>
      </c>
      <c r="K52" s="15">
        <f t="shared" si="1"/>
        <v>40354552.68</v>
      </c>
      <c r="L52" s="15">
        <v>0</v>
      </c>
      <c r="M52" s="15">
        <v>0</v>
      </c>
      <c r="N52" s="15">
        <v>358092057</v>
      </c>
      <c r="O52" s="15">
        <v>6458617.1699999999</v>
      </c>
      <c r="P52" s="15">
        <v>269270.34000000003</v>
      </c>
      <c r="Q52" s="15">
        <v>719778.24</v>
      </c>
      <c r="R52" s="15">
        <v>476688.25</v>
      </c>
      <c r="S52" s="15">
        <v>133599.79</v>
      </c>
      <c r="T52" s="15">
        <v>0</v>
      </c>
      <c r="U52" s="15">
        <v>90536.59</v>
      </c>
      <c r="V52" s="15">
        <v>0</v>
      </c>
      <c r="W52" s="15">
        <f t="shared" si="2"/>
        <v>366240547.38</v>
      </c>
      <c r="X52" s="15">
        <v>684057.37</v>
      </c>
      <c r="Y52" s="15">
        <v>0</v>
      </c>
      <c r="Z52" s="15">
        <v>398121.88</v>
      </c>
      <c r="AA52" s="15">
        <v>0</v>
      </c>
      <c r="AB52" s="15">
        <f t="shared" si="3"/>
        <v>1082179.25</v>
      </c>
      <c r="AC52" s="15">
        <v>0</v>
      </c>
      <c r="AD52" s="15">
        <v>38928903.810000002</v>
      </c>
      <c r="AE52" s="15">
        <f>4594369.44</f>
        <v>4594369.4400000004</v>
      </c>
      <c r="AF52" s="15">
        <f t="shared" si="4"/>
        <v>43523273.25</v>
      </c>
      <c r="AG52" s="15">
        <v>2403508</v>
      </c>
      <c r="AH52" s="15">
        <v>804522.07000000007</v>
      </c>
      <c r="AI52" s="15">
        <f>256795422.36-246000000</f>
        <v>10795422.360000014</v>
      </c>
      <c r="AJ52" s="16"/>
      <c r="AK52" s="15">
        <f t="shared" si="5"/>
        <v>40354552.68</v>
      </c>
      <c r="AL52" s="17">
        <f t="shared" si="6"/>
        <v>367322726.63</v>
      </c>
      <c r="AM52" s="22">
        <v>-1399</v>
      </c>
      <c r="AN52" s="19"/>
      <c r="AO52" s="15">
        <f t="shared" si="7"/>
        <v>465202605.99000001</v>
      </c>
      <c r="AP52" s="15">
        <f t="shared" si="8"/>
        <v>454408582.63</v>
      </c>
      <c r="AQ52" s="15">
        <f t="shared" si="9"/>
        <v>407677279.31</v>
      </c>
      <c r="AU52" s="33"/>
      <c r="AV52" s="33"/>
    </row>
    <row r="53" spans="2:48" s="20" customFormat="1" x14ac:dyDescent="0.25">
      <c r="B53" s="14">
        <v>40909</v>
      </c>
      <c r="C53" s="15">
        <v>59552519.850000001</v>
      </c>
      <c r="D53" s="15">
        <v>0</v>
      </c>
      <c r="E53" s="15">
        <v>1767375.59</v>
      </c>
      <c r="F53" s="15">
        <v>215380.87999999998</v>
      </c>
      <c r="G53" s="15">
        <f t="shared" si="0"/>
        <v>61535276.320000008</v>
      </c>
      <c r="H53" s="15">
        <v>4883495.71</v>
      </c>
      <c r="I53" s="15">
        <v>194840.5</v>
      </c>
      <c r="J53" s="15">
        <v>2015087.5</v>
      </c>
      <c r="K53" s="15">
        <f t="shared" si="1"/>
        <v>68628700.030000001</v>
      </c>
      <c r="L53" s="15">
        <v>0</v>
      </c>
      <c r="M53" s="15">
        <v>0</v>
      </c>
      <c r="N53" s="15">
        <v>52639726.259999998</v>
      </c>
      <c r="O53" s="15">
        <v>6831233.7199999997</v>
      </c>
      <c r="P53" s="15">
        <v>178281.02</v>
      </c>
      <c r="Q53" s="15">
        <v>706853.36</v>
      </c>
      <c r="R53" s="15">
        <v>517438.39</v>
      </c>
      <c r="S53" s="15">
        <v>0</v>
      </c>
      <c r="T53" s="15">
        <v>96555.05</v>
      </c>
      <c r="U53" s="15">
        <v>0</v>
      </c>
      <c r="V53" s="15">
        <v>0</v>
      </c>
      <c r="W53" s="15">
        <f t="shared" si="2"/>
        <v>60970087.799999997</v>
      </c>
      <c r="X53" s="15">
        <v>720816</v>
      </c>
      <c r="Y53" s="15">
        <v>0</v>
      </c>
      <c r="Z53" s="15">
        <v>539132.77</v>
      </c>
      <c r="AA53" s="15">
        <v>0</v>
      </c>
      <c r="AB53" s="15">
        <f t="shared" si="3"/>
        <v>1259948.77</v>
      </c>
      <c r="AC53" s="15">
        <v>0</v>
      </c>
      <c r="AD53" s="15">
        <v>0</v>
      </c>
      <c r="AE53" s="15">
        <v>0</v>
      </c>
      <c r="AF53" s="15">
        <f t="shared" si="4"/>
        <v>0</v>
      </c>
      <c r="AG53" s="15">
        <v>0</v>
      </c>
      <c r="AH53" s="15">
        <v>0</v>
      </c>
      <c r="AI53" s="15">
        <v>0</v>
      </c>
      <c r="AJ53" s="16"/>
      <c r="AK53" s="15">
        <f t="shared" si="5"/>
        <v>68628700.030000001</v>
      </c>
      <c r="AL53" s="17">
        <f t="shared" si="6"/>
        <v>62230036.57</v>
      </c>
      <c r="AM53" s="22">
        <v>-109182.35</v>
      </c>
      <c r="AN53" s="19"/>
      <c r="AO53" s="15">
        <f t="shared" si="7"/>
        <v>130749554.25</v>
      </c>
      <c r="AP53" s="15">
        <f t="shared" si="8"/>
        <v>130858736.59999999</v>
      </c>
      <c r="AQ53" s="15">
        <f t="shared" si="9"/>
        <v>130858736.59999999</v>
      </c>
    </row>
    <row r="54" spans="2:48" s="20" customFormat="1" x14ac:dyDescent="0.25">
      <c r="B54" s="21">
        <v>40940</v>
      </c>
      <c r="C54" s="15">
        <v>8787591.8599999994</v>
      </c>
      <c r="D54" s="15">
        <v>0</v>
      </c>
      <c r="E54" s="15">
        <v>2220605.5</v>
      </c>
      <c r="F54" s="15">
        <v>182224.72</v>
      </c>
      <c r="G54" s="15">
        <f t="shared" si="0"/>
        <v>11190422.08</v>
      </c>
      <c r="H54" s="15">
        <v>3093822.5</v>
      </c>
      <c r="I54" s="15">
        <v>1150645.3999999999</v>
      </c>
      <c r="J54" s="15">
        <v>4945700.67</v>
      </c>
      <c r="K54" s="15">
        <f t="shared" si="1"/>
        <v>20380590.649999999</v>
      </c>
      <c r="L54" s="15">
        <v>0</v>
      </c>
      <c r="M54" s="15">
        <v>0</v>
      </c>
      <c r="N54" s="15">
        <v>73789123.090000004</v>
      </c>
      <c r="O54" s="15">
        <v>10041259.560000001</v>
      </c>
      <c r="P54" s="15">
        <v>350421.49</v>
      </c>
      <c r="Q54" s="15">
        <v>710040.28</v>
      </c>
      <c r="R54" s="15">
        <v>585855.9</v>
      </c>
      <c r="S54" s="15">
        <v>135592.24</v>
      </c>
      <c r="T54" s="15">
        <v>0</v>
      </c>
      <c r="U54" s="15">
        <v>84325.34</v>
      </c>
      <c r="V54" s="15">
        <v>0</v>
      </c>
      <c r="W54" s="15">
        <f t="shared" si="2"/>
        <v>85696617.900000006</v>
      </c>
      <c r="X54" s="15">
        <v>0</v>
      </c>
      <c r="Y54" s="15">
        <v>0</v>
      </c>
      <c r="Z54" s="15">
        <v>298127.88</v>
      </c>
      <c r="AA54" s="15">
        <v>0</v>
      </c>
      <c r="AB54" s="15">
        <f t="shared" si="3"/>
        <v>298127.88</v>
      </c>
      <c r="AC54" s="15">
        <v>6535823.8899999997</v>
      </c>
      <c r="AD54" s="15">
        <v>20841016.059999999</v>
      </c>
      <c r="AE54" s="15">
        <v>0</v>
      </c>
      <c r="AF54" s="15">
        <f t="shared" si="4"/>
        <v>27376839.949999999</v>
      </c>
      <c r="AG54" s="15">
        <v>0</v>
      </c>
      <c r="AH54" s="15">
        <v>973.26</v>
      </c>
      <c r="AI54" s="15">
        <f>55000000+2100000</f>
        <v>57100000</v>
      </c>
      <c r="AJ54" s="16"/>
      <c r="AK54" s="15">
        <f t="shared" si="5"/>
        <v>20380590.649999999</v>
      </c>
      <c r="AL54" s="17">
        <f t="shared" si="6"/>
        <v>85994745.780000001</v>
      </c>
      <c r="AM54" s="22">
        <v>-7529.6</v>
      </c>
      <c r="AN54" s="19"/>
      <c r="AO54" s="15">
        <f t="shared" si="7"/>
        <v>190845620.04000002</v>
      </c>
      <c r="AP54" s="15">
        <f t="shared" si="8"/>
        <v>133753149.64000002</v>
      </c>
      <c r="AQ54" s="15">
        <f t="shared" si="9"/>
        <v>106375336.43000001</v>
      </c>
      <c r="AU54" s="33"/>
      <c r="AV54" s="33"/>
    </row>
    <row r="55" spans="2:48" s="20" customFormat="1" x14ac:dyDescent="0.25">
      <c r="B55" s="23">
        <v>40969</v>
      </c>
      <c r="C55" s="15">
        <v>7500492.1799999997</v>
      </c>
      <c r="D55" s="15">
        <v>0</v>
      </c>
      <c r="E55" s="15">
        <v>2402524.09</v>
      </c>
      <c r="F55" s="15">
        <v>21064451.5</v>
      </c>
      <c r="G55" s="15">
        <f t="shared" si="0"/>
        <v>30967467.77</v>
      </c>
      <c r="H55" s="15">
        <v>3328903.96</v>
      </c>
      <c r="I55" s="15">
        <v>1154196.5</v>
      </c>
      <c r="J55" s="15">
        <v>1868200.66</v>
      </c>
      <c r="K55" s="15">
        <f t="shared" si="1"/>
        <v>37318768.889999993</v>
      </c>
      <c r="L55" s="15">
        <v>0</v>
      </c>
      <c r="M55" s="15">
        <v>0</v>
      </c>
      <c r="N55" s="15">
        <v>160113260.08000001</v>
      </c>
      <c r="O55" s="15">
        <v>5637245.0300000003</v>
      </c>
      <c r="P55" s="15">
        <v>173808.84</v>
      </c>
      <c r="Q55" s="15">
        <v>0</v>
      </c>
      <c r="R55" s="15">
        <v>764931.14</v>
      </c>
      <c r="S55" s="15">
        <v>134586.69</v>
      </c>
      <c r="T55" s="15">
        <v>91006.2</v>
      </c>
      <c r="U55" s="15">
        <v>719255.5</v>
      </c>
      <c r="V55" s="15">
        <v>0</v>
      </c>
      <c r="W55" s="15">
        <f t="shared" si="2"/>
        <v>167634093.47999999</v>
      </c>
      <c r="X55" s="15">
        <v>0</v>
      </c>
      <c r="Y55" s="15">
        <v>0</v>
      </c>
      <c r="Z55" s="15">
        <v>407183.61</v>
      </c>
      <c r="AA55" s="15">
        <v>0</v>
      </c>
      <c r="AB55" s="15">
        <f t="shared" si="3"/>
        <v>407183.61</v>
      </c>
      <c r="AC55" s="15">
        <v>6535823.8899999997</v>
      </c>
      <c r="AD55" s="15">
        <v>20841016.059999999</v>
      </c>
      <c r="AE55" s="15">
        <v>0</v>
      </c>
      <c r="AF55" s="15">
        <f t="shared" si="4"/>
        <v>27376839.949999999</v>
      </c>
      <c r="AG55" s="15">
        <v>0</v>
      </c>
      <c r="AH55" s="15">
        <v>0</v>
      </c>
      <c r="AI55" s="15">
        <f>-55000000+3213000</f>
        <v>-51787000</v>
      </c>
      <c r="AJ55" s="16"/>
      <c r="AK55" s="15">
        <f t="shared" si="5"/>
        <v>37318768.889999993</v>
      </c>
      <c r="AL55" s="17">
        <f t="shared" si="6"/>
        <v>168041277.09</v>
      </c>
      <c r="AM55" s="22">
        <v>-317176.03999999998</v>
      </c>
      <c r="AN55" s="19"/>
      <c r="AO55" s="15">
        <f t="shared" si="7"/>
        <v>180632709.89000002</v>
      </c>
      <c r="AP55" s="15">
        <f t="shared" si="8"/>
        <v>232736885.93000001</v>
      </c>
      <c r="AQ55" s="15">
        <f t="shared" si="9"/>
        <v>205360045.97999999</v>
      </c>
    </row>
    <row r="56" spans="2:48" s="20" customFormat="1" x14ac:dyDescent="0.25">
      <c r="B56" s="24">
        <v>41000</v>
      </c>
      <c r="C56" s="15">
        <v>2850927.9</v>
      </c>
      <c r="D56" s="15">
        <v>0</v>
      </c>
      <c r="E56" s="15">
        <v>2534517.09</v>
      </c>
      <c r="F56" s="15">
        <v>86520.21</v>
      </c>
      <c r="G56" s="15">
        <f t="shared" si="0"/>
        <v>5471965.2000000002</v>
      </c>
      <c r="H56" s="15">
        <v>3424877.58</v>
      </c>
      <c r="I56" s="15">
        <v>1620536.3800000001</v>
      </c>
      <c r="J56" s="15">
        <v>1191514.82</v>
      </c>
      <c r="K56" s="15">
        <f t="shared" si="1"/>
        <v>11708893.980000002</v>
      </c>
      <c r="L56" s="15">
        <v>0</v>
      </c>
      <c r="M56" s="15">
        <v>0</v>
      </c>
      <c r="N56" s="15">
        <v>76149011.700000003</v>
      </c>
      <c r="O56" s="15">
        <v>5990167.3700000001</v>
      </c>
      <c r="P56" s="15">
        <v>173808.84</v>
      </c>
      <c r="Q56" s="15">
        <v>685636.8</v>
      </c>
      <c r="R56" s="15">
        <v>278599.69</v>
      </c>
      <c r="S56" s="15">
        <v>134369.07</v>
      </c>
      <c r="T56" s="15">
        <v>0</v>
      </c>
      <c r="U56" s="15">
        <v>92834.45</v>
      </c>
      <c r="V56" s="15">
        <v>0</v>
      </c>
      <c r="W56" s="15">
        <f t="shared" si="2"/>
        <v>83504427.920000002</v>
      </c>
      <c r="X56" s="15">
        <v>0</v>
      </c>
      <c r="Y56" s="15">
        <v>0</v>
      </c>
      <c r="Z56" s="15">
        <v>403934.03</v>
      </c>
      <c r="AA56" s="15">
        <v>0</v>
      </c>
      <c r="AB56" s="15">
        <f t="shared" si="3"/>
        <v>403934.03</v>
      </c>
      <c r="AC56" s="15">
        <v>6535823.8899999997</v>
      </c>
      <c r="AD56" s="15">
        <v>20841016.059999999</v>
      </c>
      <c r="AE56" s="15">
        <v>0</v>
      </c>
      <c r="AF56" s="15">
        <f t="shared" si="4"/>
        <v>27376839.949999999</v>
      </c>
      <c r="AG56" s="15">
        <v>0</v>
      </c>
      <c r="AH56" s="15">
        <v>35846.58</v>
      </c>
      <c r="AI56" s="15">
        <v>1071000</v>
      </c>
      <c r="AJ56" s="16"/>
      <c r="AK56" s="15">
        <f t="shared" si="5"/>
        <v>11708893.980000002</v>
      </c>
      <c r="AL56" s="17">
        <f t="shared" si="6"/>
        <v>83908361.950000003</v>
      </c>
      <c r="AM56" s="22">
        <v>-31021.759999999998</v>
      </c>
      <c r="AN56" s="19"/>
      <c r="AO56" s="15">
        <f t="shared" si="7"/>
        <v>124069920.7</v>
      </c>
      <c r="AP56" s="15">
        <f t="shared" si="8"/>
        <v>123029942.46000001</v>
      </c>
      <c r="AQ56" s="15">
        <f t="shared" si="9"/>
        <v>95617255.930000007</v>
      </c>
      <c r="AU56" s="33"/>
      <c r="AV56" s="33"/>
    </row>
    <row r="57" spans="2:48" s="20" customFormat="1" x14ac:dyDescent="0.25">
      <c r="B57" s="25">
        <v>41030</v>
      </c>
      <c r="C57" s="15">
        <v>2403960.7400000002</v>
      </c>
      <c r="D57" s="15">
        <v>0</v>
      </c>
      <c r="E57" s="15">
        <v>2733295.96</v>
      </c>
      <c r="F57" s="15">
        <v>174847.77000000002</v>
      </c>
      <c r="G57" s="15">
        <f t="shared" si="0"/>
        <v>5312104.4700000007</v>
      </c>
      <c r="H57" s="15">
        <v>7290366.5800000001</v>
      </c>
      <c r="I57" s="15">
        <v>484796.95999999996</v>
      </c>
      <c r="J57" s="15">
        <v>5197653.3899999997</v>
      </c>
      <c r="K57" s="15">
        <f t="shared" si="1"/>
        <v>18284921.400000002</v>
      </c>
      <c r="L57" s="15">
        <v>0</v>
      </c>
      <c r="M57" s="15">
        <v>0</v>
      </c>
      <c r="N57" s="15">
        <v>41472660.32</v>
      </c>
      <c r="O57" s="15">
        <v>5836585.0899999999</v>
      </c>
      <c r="P57" s="15">
        <v>386145.98</v>
      </c>
      <c r="Q57" s="15">
        <v>636420.41</v>
      </c>
      <c r="R57" s="15">
        <v>328475.17</v>
      </c>
      <c r="S57" s="15">
        <v>0</v>
      </c>
      <c r="T57" s="15">
        <v>150024.26</v>
      </c>
      <c r="U57" s="15">
        <v>77425.34</v>
      </c>
      <c r="V57" s="15">
        <v>0</v>
      </c>
      <c r="W57" s="15">
        <f t="shared" si="2"/>
        <v>48887736.569999993</v>
      </c>
      <c r="X57" s="15">
        <v>0</v>
      </c>
      <c r="Y57" s="15">
        <v>0</v>
      </c>
      <c r="Z57" s="15">
        <v>482784.33</v>
      </c>
      <c r="AA57" s="15">
        <v>0</v>
      </c>
      <c r="AB57" s="15">
        <f t="shared" si="3"/>
        <v>482784.33</v>
      </c>
      <c r="AC57" s="15">
        <v>3745642.36</v>
      </c>
      <c r="AD57" s="15">
        <v>20841016.059999999</v>
      </c>
      <c r="AE57" s="15">
        <v>201120000</v>
      </c>
      <c r="AF57" s="15">
        <f t="shared" si="4"/>
        <v>225706658.41999999</v>
      </c>
      <c r="AG57" s="15">
        <v>0</v>
      </c>
      <c r="AH57" s="15">
        <v>856174.51</v>
      </c>
      <c r="AI57" s="15">
        <v>0</v>
      </c>
      <c r="AJ57" s="16"/>
      <c r="AK57" s="15">
        <f t="shared" si="5"/>
        <v>18284921.400000002</v>
      </c>
      <c r="AL57" s="17">
        <f t="shared" si="6"/>
        <v>49370520.899999991</v>
      </c>
      <c r="AM57" s="22">
        <v>-1002349.24</v>
      </c>
      <c r="AN57" s="19"/>
      <c r="AO57" s="15">
        <f t="shared" si="7"/>
        <v>293215925.98999995</v>
      </c>
      <c r="AP57" s="15">
        <f t="shared" si="8"/>
        <v>294218275.22999996</v>
      </c>
      <c r="AQ57" s="15">
        <f t="shared" si="9"/>
        <v>67655442.299999997</v>
      </c>
      <c r="AU57" s="33"/>
      <c r="AV57" s="33"/>
    </row>
    <row r="58" spans="2:48" s="20" customFormat="1" x14ac:dyDescent="0.25">
      <c r="B58" s="26">
        <v>41061</v>
      </c>
      <c r="C58" s="15">
        <v>1917566.53</v>
      </c>
      <c r="D58" s="15">
        <v>0</v>
      </c>
      <c r="E58" s="15">
        <v>2485497.29</v>
      </c>
      <c r="F58" s="15">
        <v>243284.32</v>
      </c>
      <c r="G58" s="15">
        <f t="shared" si="0"/>
        <v>4646348.1400000006</v>
      </c>
      <c r="H58" s="15">
        <v>3024536.61</v>
      </c>
      <c r="I58" s="15">
        <v>1280848.75</v>
      </c>
      <c r="J58" s="15">
        <v>8836408.6199999992</v>
      </c>
      <c r="K58" s="15">
        <f t="shared" si="1"/>
        <v>17788142.119999997</v>
      </c>
      <c r="L58" s="15">
        <v>0</v>
      </c>
      <c r="M58" s="15">
        <v>0</v>
      </c>
      <c r="N58" s="15">
        <v>77944991.260000005</v>
      </c>
      <c r="O58" s="15">
        <v>4286150.1100000003</v>
      </c>
      <c r="P58" s="15">
        <v>145789.32999999999</v>
      </c>
      <c r="Q58" s="15">
        <v>1407545.84</v>
      </c>
      <c r="R58" s="15">
        <v>518438.2</v>
      </c>
      <c r="S58" s="15">
        <v>292786.17</v>
      </c>
      <c r="T58" s="15">
        <v>-337585.51</v>
      </c>
      <c r="U58" s="15">
        <v>-439723.05</v>
      </c>
      <c r="V58" s="15">
        <v>0</v>
      </c>
      <c r="W58" s="15">
        <f t="shared" si="2"/>
        <v>83818392.350000009</v>
      </c>
      <c r="X58" s="15">
        <v>0</v>
      </c>
      <c r="Y58" s="15">
        <v>0</v>
      </c>
      <c r="Z58" s="15">
        <v>328286.73</v>
      </c>
      <c r="AA58" s="15">
        <v>0</v>
      </c>
      <c r="AB58" s="15">
        <f t="shared" si="3"/>
        <v>328286.73</v>
      </c>
      <c r="AC58" s="15">
        <v>6535823.8899999997</v>
      </c>
      <c r="AD58" s="15">
        <v>20841016.059999999</v>
      </c>
      <c r="AE58" s="15">
        <f>40596666.19</f>
        <v>40596666.189999998</v>
      </c>
      <c r="AF58" s="15">
        <f t="shared" si="4"/>
        <v>67973506.140000001</v>
      </c>
      <c r="AG58" s="15">
        <v>0</v>
      </c>
      <c r="AH58" s="15">
        <v>186825.47</v>
      </c>
      <c r="AI58" s="15">
        <v>2321000</v>
      </c>
      <c r="AJ58" s="16"/>
      <c r="AK58" s="15">
        <f t="shared" si="5"/>
        <v>17788142.119999997</v>
      </c>
      <c r="AL58" s="17">
        <f t="shared" si="6"/>
        <v>84146679.080000013</v>
      </c>
      <c r="AM58" s="22">
        <v>0</v>
      </c>
      <c r="AN58" s="19"/>
      <c r="AO58" s="15">
        <f t="shared" si="7"/>
        <v>172416152.81</v>
      </c>
      <c r="AP58" s="15">
        <f t="shared" si="8"/>
        <v>170095152.81</v>
      </c>
      <c r="AQ58" s="15">
        <f t="shared" si="9"/>
        <v>101934821.20000002</v>
      </c>
      <c r="AU58" s="33"/>
      <c r="AV58" s="33"/>
    </row>
    <row r="59" spans="2:48" s="20" customFormat="1" x14ac:dyDescent="0.25">
      <c r="B59" s="27">
        <v>41091</v>
      </c>
      <c r="C59" s="15">
        <v>2302661.54</v>
      </c>
      <c r="D59" s="15">
        <v>0</v>
      </c>
      <c r="E59" s="15">
        <v>2966124.74</v>
      </c>
      <c r="F59" s="15">
        <v>397128.65</v>
      </c>
      <c r="G59" s="15">
        <f t="shared" si="0"/>
        <v>5665914.9300000006</v>
      </c>
      <c r="H59" s="15">
        <v>8492302.0399999991</v>
      </c>
      <c r="I59" s="15">
        <v>953451.01</v>
      </c>
      <c r="J59" s="15">
        <v>6028186.4000000004</v>
      </c>
      <c r="K59" s="15">
        <f t="shared" si="1"/>
        <v>21139854.379999999</v>
      </c>
      <c r="L59" s="15">
        <v>0</v>
      </c>
      <c r="M59" s="15">
        <v>0</v>
      </c>
      <c r="N59" s="15">
        <v>72627682.730000004</v>
      </c>
      <c r="O59" s="15">
        <v>4567254.21</v>
      </c>
      <c r="P59" s="15">
        <v>173808.84</v>
      </c>
      <c r="Q59" s="15">
        <v>656212.12</v>
      </c>
      <c r="R59" s="15">
        <v>468293.12</v>
      </c>
      <c r="S59" s="15">
        <v>147691.98000000001</v>
      </c>
      <c r="T59" s="15">
        <v>0</v>
      </c>
      <c r="U59" s="15">
        <v>92199.83</v>
      </c>
      <c r="V59" s="15">
        <v>0</v>
      </c>
      <c r="W59" s="15">
        <f t="shared" si="2"/>
        <v>78733142.830000013</v>
      </c>
      <c r="X59" s="15">
        <v>0</v>
      </c>
      <c r="Y59" s="15">
        <v>0</v>
      </c>
      <c r="Z59" s="15">
        <v>307719.38</v>
      </c>
      <c r="AA59" s="15">
        <v>0</v>
      </c>
      <c r="AB59" s="15">
        <f t="shared" si="3"/>
        <v>307719.38</v>
      </c>
      <c r="AC59" s="15">
        <v>9326005.4199999999</v>
      </c>
      <c r="AD59" s="15">
        <v>20841016.059999999</v>
      </c>
      <c r="AE59" s="15">
        <v>15000000</v>
      </c>
      <c r="AF59" s="15">
        <f t="shared" si="4"/>
        <v>45167021.479999997</v>
      </c>
      <c r="AG59" s="15">
        <v>0</v>
      </c>
      <c r="AH59" s="15">
        <v>171519.76</v>
      </c>
      <c r="AI59" s="15">
        <v>2142000</v>
      </c>
      <c r="AJ59" s="16"/>
      <c r="AK59" s="15">
        <f t="shared" si="5"/>
        <v>21139854.379999999</v>
      </c>
      <c r="AL59" s="17">
        <f t="shared" si="6"/>
        <v>79040862.210000008</v>
      </c>
      <c r="AM59" s="22">
        <v>0</v>
      </c>
      <c r="AN59" s="19"/>
      <c r="AO59" s="15">
        <f t="shared" si="7"/>
        <v>147661257.82999998</v>
      </c>
      <c r="AP59" s="15">
        <f t="shared" si="8"/>
        <v>145519257.82999998</v>
      </c>
      <c r="AQ59" s="15">
        <f t="shared" si="9"/>
        <v>100180716.59</v>
      </c>
      <c r="AU59" s="33"/>
      <c r="AV59" s="33"/>
    </row>
    <row r="60" spans="2:48" s="20" customFormat="1" x14ac:dyDescent="0.25">
      <c r="B60" s="28">
        <v>41122</v>
      </c>
      <c r="C60" s="15">
        <v>1770806.93</v>
      </c>
      <c r="D60" s="15">
        <v>0</v>
      </c>
      <c r="E60" s="15">
        <v>2473226.4</v>
      </c>
      <c r="F60" s="15">
        <v>351160.13</v>
      </c>
      <c r="G60" s="15">
        <f t="shared" si="0"/>
        <v>4595193.46</v>
      </c>
      <c r="H60" s="15">
        <v>3116142.07</v>
      </c>
      <c r="I60" s="15">
        <v>760054.21</v>
      </c>
      <c r="J60" s="15">
        <v>4894830.3600000003</v>
      </c>
      <c r="K60" s="15">
        <f t="shared" si="1"/>
        <v>13366220.099999998</v>
      </c>
      <c r="L60" s="15">
        <v>0</v>
      </c>
      <c r="M60" s="15">
        <v>0</v>
      </c>
      <c r="N60" s="15">
        <v>48641324.289999999</v>
      </c>
      <c r="O60" s="15">
        <v>4871318.8099999996</v>
      </c>
      <c r="P60" s="15">
        <v>436079.01</v>
      </c>
      <c r="Q60" s="15">
        <v>685118.21</v>
      </c>
      <c r="R60" s="15">
        <v>500448.95</v>
      </c>
      <c r="S60" s="15">
        <v>319920.07</v>
      </c>
      <c r="T60" s="15">
        <v>0</v>
      </c>
      <c r="U60" s="15">
        <v>57122.03</v>
      </c>
      <c r="V60" s="15">
        <v>0</v>
      </c>
      <c r="W60" s="15">
        <f t="shared" si="2"/>
        <v>55511331.370000005</v>
      </c>
      <c r="X60" s="15">
        <v>80358.490000000005</v>
      </c>
      <c r="Y60" s="15">
        <v>0</v>
      </c>
      <c r="Z60" s="15">
        <v>425679.95</v>
      </c>
      <c r="AA60" s="15">
        <v>0</v>
      </c>
      <c r="AB60" s="15">
        <f t="shared" si="3"/>
        <v>506038.44</v>
      </c>
      <c r="AC60" s="15">
        <v>6535823.8899999997</v>
      </c>
      <c r="AD60" s="15">
        <v>20841016.059999999</v>
      </c>
      <c r="AE60" s="15">
        <v>880000</v>
      </c>
      <c r="AF60" s="15">
        <f t="shared" si="4"/>
        <v>28256839.949999999</v>
      </c>
      <c r="AG60" s="15">
        <v>0</v>
      </c>
      <c r="AH60" s="15">
        <v>216846.53</v>
      </c>
      <c r="AI60" s="15">
        <v>0</v>
      </c>
      <c r="AJ60" s="16"/>
      <c r="AK60" s="15">
        <f t="shared" si="5"/>
        <v>13366220.099999998</v>
      </c>
      <c r="AL60" s="17">
        <f t="shared" si="6"/>
        <v>56017369.810000002</v>
      </c>
      <c r="AM60" s="22">
        <v>-10169985.15</v>
      </c>
      <c r="AN60" s="19"/>
      <c r="AO60" s="15">
        <f t="shared" si="7"/>
        <v>87687291.239999995</v>
      </c>
      <c r="AP60" s="15">
        <f t="shared" si="8"/>
        <v>97857276.390000001</v>
      </c>
      <c r="AQ60" s="15">
        <f t="shared" si="9"/>
        <v>69383589.909999996</v>
      </c>
      <c r="AU60" s="33"/>
      <c r="AV60" s="33"/>
    </row>
    <row r="61" spans="2:48" s="20" customFormat="1" x14ac:dyDescent="0.25">
      <c r="B61" s="29">
        <v>41153</v>
      </c>
      <c r="C61" s="15">
        <v>2507128.4</v>
      </c>
      <c r="D61" s="15">
        <v>0</v>
      </c>
      <c r="E61" s="15">
        <v>2328398.11</v>
      </c>
      <c r="F61" s="15">
        <v>227353.11</v>
      </c>
      <c r="G61" s="15">
        <f t="shared" si="0"/>
        <v>5062879.62</v>
      </c>
      <c r="H61" s="15">
        <v>3579558.39</v>
      </c>
      <c r="I61" s="15">
        <v>2994608.9299999997</v>
      </c>
      <c r="J61" s="15">
        <v>4979892.9000000004</v>
      </c>
      <c r="K61" s="15">
        <f t="shared" si="1"/>
        <v>16616939.84</v>
      </c>
      <c r="L61" s="15">
        <v>0</v>
      </c>
      <c r="M61" s="15">
        <v>0</v>
      </c>
      <c r="N61" s="15">
        <v>56591542.770000003</v>
      </c>
      <c r="O61" s="15">
        <v>5383804.8300000001</v>
      </c>
      <c r="P61" s="15">
        <v>162555.37</v>
      </c>
      <c r="Q61" s="15">
        <v>688316.65</v>
      </c>
      <c r="R61" s="15">
        <v>558711.68000000005</v>
      </c>
      <c r="S61" s="15">
        <v>144271.63</v>
      </c>
      <c r="T61" s="15">
        <v>0</v>
      </c>
      <c r="U61" s="15">
        <v>80020.83</v>
      </c>
      <c r="V61" s="15">
        <v>0</v>
      </c>
      <c r="W61" s="15">
        <f t="shared" si="2"/>
        <v>63609223.759999998</v>
      </c>
      <c r="X61" s="15">
        <v>0</v>
      </c>
      <c r="Y61" s="15">
        <v>0</v>
      </c>
      <c r="Z61" s="15">
        <v>382077.76</v>
      </c>
      <c r="AA61" s="15">
        <v>0</v>
      </c>
      <c r="AB61" s="15">
        <f t="shared" si="3"/>
        <v>382077.76</v>
      </c>
      <c r="AC61" s="15">
        <v>13071647.779999999</v>
      </c>
      <c r="AD61" s="15">
        <v>41682032.119999997</v>
      </c>
      <c r="AE61" s="15">
        <v>7875688.4800000004</v>
      </c>
      <c r="AF61" s="15">
        <f t="shared" si="4"/>
        <v>62629368.379999995</v>
      </c>
      <c r="AG61" s="15">
        <v>0</v>
      </c>
      <c r="AH61" s="15">
        <v>42851.1</v>
      </c>
      <c r="AI61" s="15">
        <v>21071000</v>
      </c>
      <c r="AJ61" s="16"/>
      <c r="AK61" s="15">
        <f t="shared" si="5"/>
        <v>16616939.84</v>
      </c>
      <c r="AL61" s="17">
        <f t="shared" si="6"/>
        <v>63991301.519999996</v>
      </c>
      <c r="AM61" s="22">
        <v>-56246.61</v>
      </c>
      <c r="AN61" s="19"/>
      <c r="AO61" s="15">
        <f t="shared" si="7"/>
        <v>164295214.22999996</v>
      </c>
      <c r="AP61" s="15">
        <f t="shared" si="8"/>
        <v>143280460.83999997</v>
      </c>
      <c r="AQ61" s="15">
        <f t="shared" si="9"/>
        <v>80608241.359999999</v>
      </c>
      <c r="AU61" s="33"/>
      <c r="AV61" s="33"/>
    </row>
    <row r="62" spans="2:48" s="20" customFormat="1" x14ac:dyDescent="0.25">
      <c r="B62" s="30">
        <v>41183</v>
      </c>
      <c r="C62" s="15">
        <v>1343089.58</v>
      </c>
      <c r="D62" s="15">
        <v>0</v>
      </c>
      <c r="E62" s="15">
        <v>3108742.07</v>
      </c>
      <c r="F62" s="15">
        <v>545267.29</v>
      </c>
      <c r="G62" s="15">
        <f t="shared" si="0"/>
        <v>4997098.9400000004</v>
      </c>
      <c r="H62" s="15">
        <v>3076486.15</v>
      </c>
      <c r="I62" s="15">
        <v>492938.07000000007</v>
      </c>
      <c r="J62" s="15">
        <v>4977790.05</v>
      </c>
      <c r="K62" s="15">
        <f t="shared" si="1"/>
        <v>13544313.210000001</v>
      </c>
      <c r="L62" s="15">
        <v>0</v>
      </c>
      <c r="M62" s="15">
        <v>0</v>
      </c>
      <c r="N62" s="15">
        <v>53110097.460000001</v>
      </c>
      <c r="O62" s="15">
        <v>5722736.7800000003</v>
      </c>
      <c r="P62" s="15">
        <v>173808.84</v>
      </c>
      <c r="Q62" s="15">
        <v>732519.4</v>
      </c>
      <c r="R62" s="15">
        <v>861902.09</v>
      </c>
      <c r="S62" s="15">
        <v>146620.01</v>
      </c>
      <c r="T62" s="15">
        <v>0</v>
      </c>
      <c r="U62" s="15">
        <v>90227.18</v>
      </c>
      <c r="V62" s="15">
        <v>0</v>
      </c>
      <c r="W62" s="15">
        <f t="shared" si="2"/>
        <v>60837911.760000005</v>
      </c>
      <c r="X62" s="15">
        <v>0</v>
      </c>
      <c r="Y62" s="15">
        <v>0</v>
      </c>
      <c r="Z62" s="15">
        <v>471592.29</v>
      </c>
      <c r="AA62" s="15">
        <v>0</v>
      </c>
      <c r="AB62" s="15">
        <f t="shared" si="3"/>
        <v>471592.29</v>
      </c>
      <c r="AC62" s="15">
        <v>0</v>
      </c>
      <c r="AD62" s="15">
        <v>0</v>
      </c>
      <c r="AE62" s="15">
        <v>1071000</v>
      </c>
      <c r="AF62" s="15">
        <f t="shared" si="4"/>
        <v>1071000</v>
      </c>
      <c r="AG62" s="15">
        <v>0</v>
      </c>
      <c r="AH62" s="15">
        <v>228664.09</v>
      </c>
      <c r="AI62" s="15">
        <v>0</v>
      </c>
      <c r="AJ62" s="16"/>
      <c r="AK62" s="15">
        <f t="shared" si="5"/>
        <v>13544313.210000001</v>
      </c>
      <c r="AL62" s="17">
        <f t="shared" si="6"/>
        <v>61309504.050000004</v>
      </c>
      <c r="AM62" s="22">
        <v>-251711.76</v>
      </c>
      <c r="AN62" s="19"/>
      <c r="AO62" s="15">
        <f t="shared" si="7"/>
        <v>75901769.590000004</v>
      </c>
      <c r="AP62" s="15">
        <f t="shared" si="8"/>
        <v>76153481.350000009</v>
      </c>
      <c r="AQ62" s="15">
        <f t="shared" si="9"/>
        <v>74853817.260000005</v>
      </c>
      <c r="AU62" s="33"/>
      <c r="AV62" s="33"/>
    </row>
    <row r="63" spans="2:48" s="20" customFormat="1" x14ac:dyDescent="0.25">
      <c r="B63" s="31">
        <v>41214</v>
      </c>
      <c r="C63" s="15">
        <v>2293945.16</v>
      </c>
      <c r="D63" s="15">
        <v>0</v>
      </c>
      <c r="E63" s="15">
        <v>2522721.27</v>
      </c>
      <c r="F63" s="15">
        <v>445336.56</v>
      </c>
      <c r="G63" s="15">
        <f t="shared" si="0"/>
        <v>5262002.9899999993</v>
      </c>
      <c r="H63" s="15">
        <v>3362260.19</v>
      </c>
      <c r="I63" s="15">
        <v>1938088.9100000001</v>
      </c>
      <c r="J63" s="15">
        <v>2222750.5299999998</v>
      </c>
      <c r="K63" s="15">
        <f t="shared" si="1"/>
        <v>12785102.619999999</v>
      </c>
      <c r="L63" s="15">
        <v>0</v>
      </c>
      <c r="M63" s="15">
        <v>0</v>
      </c>
      <c r="N63" s="15">
        <v>62310151.350000001</v>
      </c>
      <c r="O63" s="15">
        <v>4570529.16</v>
      </c>
      <c r="P63" s="15">
        <v>372875.5</v>
      </c>
      <c r="Q63" s="15">
        <v>675572.68</v>
      </c>
      <c r="R63" s="15">
        <v>492538.51</v>
      </c>
      <c r="S63" s="15">
        <v>138133.13</v>
      </c>
      <c r="T63" s="15">
        <v>0</v>
      </c>
      <c r="U63" s="15">
        <v>68804.39</v>
      </c>
      <c r="V63" s="15">
        <v>0</v>
      </c>
      <c r="W63" s="15">
        <f t="shared" si="2"/>
        <v>68628604.720000014</v>
      </c>
      <c r="X63" s="15">
        <v>0</v>
      </c>
      <c r="Y63" s="15">
        <v>0</v>
      </c>
      <c r="Z63" s="15">
        <v>483738.73</v>
      </c>
      <c r="AA63" s="15">
        <v>0</v>
      </c>
      <c r="AB63" s="15">
        <f t="shared" si="3"/>
        <v>483738.73</v>
      </c>
      <c r="AC63" s="15">
        <v>6535823.8600000003</v>
      </c>
      <c r="AD63" s="15">
        <v>20841016.059999999</v>
      </c>
      <c r="AE63" s="15">
        <f>9629427</f>
        <v>9629427</v>
      </c>
      <c r="AF63" s="15">
        <f t="shared" si="4"/>
        <v>37006266.920000002</v>
      </c>
      <c r="AG63" s="15">
        <v>0</v>
      </c>
      <c r="AH63" s="15">
        <v>65725.099999999991</v>
      </c>
      <c r="AI63" s="15">
        <v>3392000</v>
      </c>
      <c r="AJ63" s="16"/>
      <c r="AK63" s="15">
        <f t="shared" si="5"/>
        <v>12785102.619999999</v>
      </c>
      <c r="AL63" s="17">
        <f t="shared" si="6"/>
        <v>69112343.450000018</v>
      </c>
      <c r="AM63" s="22">
        <v>-2600.4899999999998</v>
      </c>
      <c r="AN63" s="19"/>
      <c r="AO63" s="15">
        <f t="shared" si="7"/>
        <v>122358837.60000002</v>
      </c>
      <c r="AP63" s="15">
        <f t="shared" si="8"/>
        <v>118969438.09000002</v>
      </c>
      <c r="AQ63" s="15">
        <f t="shared" si="9"/>
        <v>81897446.070000023</v>
      </c>
      <c r="AU63" s="33"/>
      <c r="AV63" s="33"/>
    </row>
    <row r="64" spans="2:48" s="20" customFormat="1" x14ac:dyDescent="0.25">
      <c r="B64" s="32">
        <v>41244</v>
      </c>
      <c r="C64" s="15">
        <v>4635652.12</v>
      </c>
      <c r="D64" s="15">
        <v>0</v>
      </c>
      <c r="E64" s="15">
        <v>3909432.87</v>
      </c>
      <c r="F64" s="15">
        <v>462614.33</v>
      </c>
      <c r="G64" s="15">
        <f t="shared" si="0"/>
        <v>9007699.3200000003</v>
      </c>
      <c r="H64" s="15">
        <v>2517922.13</v>
      </c>
      <c r="I64" s="15">
        <v>581303.93999999994</v>
      </c>
      <c r="J64" s="15">
        <v>4495418.91</v>
      </c>
      <c r="K64" s="15">
        <f t="shared" si="1"/>
        <v>16602344.299999999</v>
      </c>
      <c r="L64" s="15">
        <v>0</v>
      </c>
      <c r="M64" s="15">
        <v>0</v>
      </c>
      <c r="N64" s="15">
        <v>105927846.12</v>
      </c>
      <c r="O64" s="15">
        <v>281080.58</v>
      </c>
      <c r="P64" s="15">
        <v>183772.26</v>
      </c>
      <c r="Q64" s="15">
        <v>707204.07</v>
      </c>
      <c r="R64" s="15">
        <v>0</v>
      </c>
      <c r="S64" s="15">
        <v>0</v>
      </c>
      <c r="T64" s="15">
        <v>0</v>
      </c>
      <c r="U64" s="15">
        <v>81878.36</v>
      </c>
      <c r="V64" s="15">
        <v>0</v>
      </c>
      <c r="W64" s="15">
        <f t="shared" si="2"/>
        <v>107181781.39</v>
      </c>
      <c r="X64" s="15">
        <v>0</v>
      </c>
      <c r="Y64" s="15">
        <v>0</v>
      </c>
      <c r="Z64" s="15">
        <v>0</v>
      </c>
      <c r="AA64" s="15">
        <v>0</v>
      </c>
      <c r="AB64" s="15">
        <f t="shared" si="3"/>
        <v>0</v>
      </c>
      <c r="AC64" s="15">
        <v>0</v>
      </c>
      <c r="AD64" s="15">
        <v>41682032.119999997</v>
      </c>
      <c r="AE64" s="15">
        <v>6820140.9800000004</v>
      </c>
      <c r="AF64" s="15">
        <f t="shared" si="4"/>
        <v>48502173.099999994</v>
      </c>
      <c r="AG64" s="15">
        <v>0</v>
      </c>
      <c r="AH64" s="15">
        <v>281919.15000000002</v>
      </c>
      <c r="AI64" s="15">
        <v>82438489</v>
      </c>
      <c r="AJ64" s="16"/>
      <c r="AK64" s="15">
        <f t="shared" si="5"/>
        <v>16602344.299999999</v>
      </c>
      <c r="AL64" s="17">
        <f t="shared" si="6"/>
        <v>107181781.39</v>
      </c>
      <c r="AM64" s="22">
        <v>-14647222.59</v>
      </c>
      <c r="AN64" s="19"/>
      <c r="AO64" s="15">
        <f t="shared" si="7"/>
        <v>240359484.34999999</v>
      </c>
      <c r="AP64" s="15">
        <f t="shared" si="8"/>
        <v>172568217.94</v>
      </c>
      <c r="AQ64" s="15">
        <f t="shared" si="9"/>
        <v>123784125.69</v>
      </c>
      <c r="AU64" s="33"/>
      <c r="AV64" s="33"/>
    </row>
    <row r="65" spans="2:48" s="20" customFormat="1" x14ac:dyDescent="0.25">
      <c r="B65" s="14">
        <v>41275</v>
      </c>
      <c r="C65" s="15">
        <v>65909058.469999999</v>
      </c>
      <c r="D65" s="15">
        <v>0</v>
      </c>
      <c r="E65" s="15">
        <v>3435683.23</v>
      </c>
      <c r="F65" s="15">
        <v>679476.05</v>
      </c>
      <c r="G65" s="15">
        <f t="shared" si="0"/>
        <v>70024217.75</v>
      </c>
      <c r="H65" s="15">
        <v>5829763</v>
      </c>
      <c r="I65" s="15">
        <v>962051.58000000007</v>
      </c>
      <c r="J65" s="15">
        <v>1737288.88</v>
      </c>
      <c r="K65" s="15">
        <f t="shared" si="1"/>
        <v>78553321.209999993</v>
      </c>
      <c r="L65" s="15">
        <v>0</v>
      </c>
      <c r="M65" s="15">
        <v>0</v>
      </c>
      <c r="N65" s="15">
        <v>27454404.390000001</v>
      </c>
      <c r="O65" s="15">
        <v>8256305.6299999999</v>
      </c>
      <c r="P65" s="15">
        <v>32550.65</v>
      </c>
      <c r="Q65" s="15">
        <v>0</v>
      </c>
      <c r="R65" s="15">
        <v>685136.18</v>
      </c>
      <c r="S65" s="15">
        <v>133880.51</v>
      </c>
      <c r="T65" s="15">
        <v>0</v>
      </c>
      <c r="U65" s="15">
        <v>0</v>
      </c>
      <c r="V65" s="15">
        <v>0</v>
      </c>
      <c r="W65" s="15">
        <f t="shared" si="2"/>
        <v>36562277.359999999</v>
      </c>
      <c r="X65" s="15">
        <v>0</v>
      </c>
      <c r="Y65" s="15">
        <v>0</v>
      </c>
      <c r="Z65" s="15">
        <v>1069840.3700000001</v>
      </c>
      <c r="AA65" s="15">
        <v>0</v>
      </c>
      <c r="AB65" s="15">
        <f t="shared" si="3"/>
        <v>1069840.3700000001</v>
      </c>
      <c r="AC65" s="15">
        <v>0</v>
      </c>
      <c r="AD65" s="15">
        <v>0</v>
      </c>
      <c r="AE65" s="15">
        <v>0</v>
      </c>
      <c r="AF65" s="15">
        <f t="shared" si="4"/>
        <v>0</v>
      </c>
      <c r="AG65" s="15">
        <v>0</v>
      </c>
      <c r="AH65" s="15">
        <v>26.69</v>
      </c>
      <c r="AI65" s="15">
        <v>0</v>
      </c>
      <c r="AJ65" s="16"/>
      <c r="AK65" s="15">
        <f t="shared" si="5"/>
        <v>78553321.209999993</v>
      </c>
      <c r="AL65" s="17">
        <f t="shared" si="6"/>
        <v>37632117.729999997</v>
      </c>
      <c r="AM65" s="22">
        <v>-513.67999999999995</v>
      </c>
      <c r="AN65" s="19"/>
      <c r="AO65" s="15">
        <f t="shared" si="7"/>
        <v>116184951.94999999</v>
      </c>
      <c r="AP65" s="15">
        <f t="shared" si="8"/>
        <v>116185465.63</v>
      </c>
      <c r="AQ65" s="15">
        <f t="shared" si="9"/>
        <v>116185438.94</v>
      </c>
      <c r="AU65" s="33"/>
    </row>
    <row r="66" spans="2:48" s="20" customFormat="1" x14ac:dyDescent="0.25">
      <c r="B66" s="21">
        <v>41306</v>
      </c>
      <c r="C66" s="15">
        <v>8784004.9100000001</v>
      </c>
      <c r="D66" s="15">
        <v>0</v>
      </c>
      <c r="E66" s="15">
        <v>3579764.11</v>
      </c>
      <c r="F66" s="15">
        <v>486117.58</v>
      </c>
      <c r="G66" s="15">
        <f t="shared" si="0"/>
        <v>12849886.6</v>
      </c>
      <c r="H66" s="15">
        <v>3991191.87</v>
      </c>
      <c r="I66" s="15">
        <v>866963.47</v>
      </c>
      <c r="J66" s="15">
        <v>1279094.71</v>
      </c>
      <c r="K66" s="15">
        <f t="shared" si="1"/>
        <v>18987136.649999999</v>
      </c>
      <c r="L66" s="15">
        <v>0</v>
      </c>
      <c r="M66" s="15">
        <v>0</v>
      </c>
      <c r="N66" s="15">
        <v>58270383.969999999</v>
      </c>
      <c r="O66" s="15">
        <v>5431459.4100000001</v>
      </c>
      <c r="P66" s="15">
        <v>378010.63</v>
      </c>
      <c r="Q66" s="15">
        <v>668186.54</v>
      </c>
      <c r="R66" s="15">
        <v>494383.38</v>
      </c>
      <c r="S66" s="15">
        <v>0</v>
      </c>
      <c r="T66" s="15">
        <v>120850.52</v>
      </c>
      <c r="U66" s="15">
        <v>89125.98</v>
      </c>
      <c r="V66" s="15">
        <v>0</v>
      </c>
      <c r="W66" s="15">
        <f t="shared" si="2"/>
        <v>65452400.43</v>
      </c>
      <c r="X66" s="15">
        <v>0</v>
      </c>
      <c r="Y66" s="15">
        <v>0</v>
      </c>
      <c r="Z66" s="15">
        <v>538042.67000000004</v>
      </c>
      <c r="AA66" s="15">
        <v>0</v>
      </c>
      <c r="AB66" s="15">
        <f t="shared" si="3"/>
        <v>538042.67000000004</v>
      </c>
      <c r="AC66" s="15">
        <v>7310316.3899999997</v>
      </c>
      <c r="AD66" s="15">
        <v>22456532.620000001</v>
      </c>
      <c r="AE66" s="15">
        <v>0</v>
      </c>
      <c r="AF66" s="15">
        <f t="shared" si="4"/>
        <v>29766849.010000002</v>
      </c>
      <c r="AG66" s="15">
        <v>0</v>
      </c>
      <c r="AH66" s="15">
        <v>21802.16</v>
      </c>
      <c r="AI66" s="15">
        <v>0</v>
      </c>
      <c r="AJ66" s="16"/>
      <c r="AK66" s="15">
        <f t="shared" si="5"/>
        <v>18987136.649999999</v>
      </c>
      <c r="AL66" s="17">
        <f t="shared" si="6"/>
        <v>65990443.100000001</v>
      </c>
      <c r="AM66" s="22">
        <v>-20346387.809999999</v>
      </c>
      <c r="AN66" s="19"/>
      <c r="AO66" s="15">
        <f t="shared" si="7"/>
        <v>94419843.109999999</v>
      </c>
      <c r="AP66" s="15">
        <f t="shared" si="8"/>
        <v>114766230.92</v>
      </c>
      <c r="AQ66" s="15">
        <f t="shared" si="9"/>
        <v>84977579.75</v>
      </c>
      <c r="AU66" s="33"/>
    </row>
    <row r="67" spans="2:48" s="20" customFormat="1" x14ac:dyDescent="0.25">
      <c r="B67" s="23">
        <v>41334</v>
      </c>
      <c r="C67" s="15">
        <v>7581278.7199999997</v>
      </c>
      <c r="D67" s="15">
        <v>0</v>
      </c>
      <c r="E67" s="15">
        <v>4890837.8499999996</v>
      </c>
      <c r="F67" s="15">
        <v>219825.82</v>
      </c>
      <c r="G67" s="15">
        <f t="shared" si="0"/>
        <v>12691942.390000001</v>
      </c>
      <c r="H67" s="15">
        <v>3702561.49</v>
      </c>
      <c r="I67" s="15">
        <v>623443.44999999995</v>
      </c>
      <c r="J67" s="15">
        <v>1079087.1599999999</v>
      </c>
      <c r="K67" s="15">
        <f t="shared" si="1"/>
        <v>18097034.490000002</v>
      </c>
      <c r="L67" s="15">
        <v>0</v>
      </c>
      <c r="M67" s="15">
        <v>0</v>
      </c>
      <c r="N67" s="15">
        <v>100415357.48</v>
      </c>
      <c r="O67" s="15">
        <v>8506531.6600000001</v>
      </c>
      <c r="P67" s="15">
        <v>173808.84</v>
      </c>
      <c r="Q67" s="15">
        <v>688850.46</v>
      </c>
      <c r="R67" s="15">
        <v>611715.04</v>
      </c>
      <c r="S67" s="15">
        <v>0</v>
      </c>
      <c r="T67" s="15">
        <v>135180.38</v>
      </c>
      <c r="U67" s="15">
        <v>51076.19</v>
      </c>
      <c r="V67" s="15">
        <v>0</v>
      </c>
      <c r="W67" s="15">
        <f t="shared" si="2"/>
        <v>110582520.05</v>
      </c>
      <c r="X67" s="15">
        <v>0</v>
      </c>
      <c r="Y67" s="15">
        <v>0</v>
      </c>
      <c r="Z67" s="15">
        <v>437240.47</v>
      </c>
      <c r="AA67" s="15">
        <v>0</v>
      </c>
      <c r="AB67" s="15">
        <f t="shared" si="3"/>
        <v>437240.47</v>
      </c>
      <c r="AC67" s="15">
        <v>7310316.3899999997</v>
      </c>
      <c r="AD67" s="15">
        <v>22456532.620000001</v>
      </c>
      <c r="AE67" s="15">
        <v>750000</v>
      </c>
      <c r="AF67" s="15">
        <f t="shared" si="4"/>
        <v>30516849.010000002</v>
      </c>
      <c r="AG67" s="15">
        <v>0</v>
      </c>
      <c r="AH67" s="15">
        <v>278386.51</v>
      </c>
      <c r="AI67" s="15">
        <v>0</v>
      </c>
      <c r="AJ67" s="16"/>
      <c r="AK67" s="15">
        <f t="shared" si="5"/>
        <v>18097034.490000002</v>
      </c>
      <c r="AL67" s="17">
        <f t="shared" si="6"/>
        <v>111019760.52</v>
      </c>
      <c r="AM67" s="22">
        <v>-910518.33</v>
      </c>
      <c r="AN67" s="19"/>
      <c r="AO67" s="15">
        <f t="shared" si="7"/>
        <v>159001512.19999999</v>
      </c>
      <c r="AP67" s="15">
        <f t="shared" si="8"/>
        <v>159912030.53</v>
      </c>
      <c r="AQ67" s="15">
        <f t="shared" si="9"/>
        <v>129116795.00999999</v>
      </c>
      <c r="AU67" s="33"/>
      <c r="AV67" s="33"/>
    </row>
    <row r="68" spans="2:48" s="20" customFormat="1" x14ac:dyDescent="0.25">
      <c r="B68" s="24">
        <v>41365</v>
      </c>
      <c r="C68" s="15">
        <v>3413056.47</v>
      </c>
      <c r="D68" s="15">
        <v>9177067.9199999999</v>
      </c>
      <c r="E68" s="15">
        <v>4762213.22</v>
      </c>
      <c r="F68" s="15">
        <v>642897.59000000008</v>
      </c>
      <c r="G68" s="15">
        <f t="shared" si="0"/>
        <v>17995235.199999999</v>
      </c>
      <c r="H68" s="15">
        <v>3887484.66</v>
      </c>
      <c r="I68" s="15">
        <v>1640918.48</v>
      </c>
      <c r="J68" s="15">
        <v>1615301.08</v>
      </c>
      <c r="K68" s="15">
        <f t="shared" si="1"/>
        <v>25138939.420000002</v>
      </c>
      <c r="L68" s="15">
        <v>0</v>
      </c>
      <c r="M68" s="15">
        <v>0</v>
      </c>
      <c r="N68" s="15">
        <v>64186923.890000001</v>
      </c>
      <c r="O68" s="15">
        <v>0</v>
      </c>
      <c r="P68" s="15">
        <v>173808.84</v>
      </c>
      <c r="Q68" s="15">
        <v>1350265.52</v>
      </c>
      <c r="R68" s="15">
        <v>920429.08</v>
      </c>
      <c r="S68" s="15">
        <v>133679.23000000001</v>
      </c>
      <c r="T68" s="15">
        <v>0</v>
      </c>
      <c r="U68" s="15">
        <v>177328.67</v>
      </c>
      <c r="V68" s="15">
        <v>0</v>
      </c>
      <c r="W68" s="15">
        <f t="shared" si="2"/>
        <v>66942435.230000004</v>
      </c>
      <c r="X68" s="15">
        <v>0</v>
      </c>
      <c r="Y68" s="15">
        <v>0</v>
      </c>
      <c r="Z68" s="15">
        <v>358033.07</v>
      </c>
      <c r="AA68" s="15">
        <v>0</v>
      </c>
      <c r="AB68" s="15">
        <f t="shared" si="3"/>
        <v>358033.07</v>
      </c>
      <c r="AC68" s="15">
        <v>7310316.3899999997</v>
      </c>
      <c r="AD68" s="15">
        <v>22456532.620000001</v>
      </c>
      <c r="AE68" s="15">
        <v>0</v>
      </c>
      <c r="AF68" s="15">
        <f t="shared" si="4"/>
        <v>29766849.010000002</v>
      </c>
      <c r="AG68" s="15">
        <v>0</v>
      </c>
      <c r="AH68" s="15">
        <v>309810.01</v>
      </c>
      <c r="AI68" s="15">
        <v>0</v>
      </c>
      <c r="AJ68" s="16"/>
      <c r="AK68" s="15">
        <f t="shared" si="5"/>
        <v>25138939.420000002</v>
      </c>
      <c r="AL68" s="17">
        <f t="shared" si="6"/>
        <v>67300468.299999997</v>
      </c>
      <c r="AM68" s="22">
        <v>-88472.63</v>
      </c>
      <c r="AN68" s="19"/>
      <c r="AO68" s="15">
        <f t="shared" si="7"/>
        <v>122427594.11000001</v>
      </c>
      <c r="AP68" s="15">
        <f t="shared" si="8"/>
        <v>122516066.74000001</v>
      </c>
      <c r="AQ68" s="15">
        <f t="shared" si="9"/>
        <v>92439407.719999999</v>
      </c>
      <c r="AU68" s="33"/>
      <c r="AV68" s="33"/>
    </row>
    <row r="69" spans="2:48" s="20" customFormat="1" x14ac:dyDescent="0.25">
      <c r="B69" s="25">
        <v>41395</v>
      </c>
      <c r="C69" s="15">
        <v>2117243.2000000002</v>
      </c>
      <c r="D69" s="15">
        <v>0</v>
      </c>
      <c r="E69" s="15">
        <v>4723093.9400000004</v>
      </c>
      <c r="F69" s="15">
        <v>524665.30000000005</v>
      </c>
      <c r="G69" s="15">
        <f t="shared" si="0"/>
        <v>7365002.4400000004</v>
      </c>
      <c r="H69" s="15">
        <v>3350676.39</v>
      </c>
      <c r="I69" s="15">
        <v>415585.81999999995</v>
      </c>
      <c r="J69" s="15">
        <v>1585673.11</v>
      </c>
      <c r="K69" s="15">
        <f t="shared" si="1"/>
        <v>12716937.76</v>
      </c>
      <c r="L69" s="15">
        <v>0</v>
      </c>
      <c r="M69" s="15">
        <v>0</v>
      </c>
      <c r="N69" s="15">
        <v>48913486.609999999</v>
      </c>
      <c r="O69" s="15">
        <v>5898269.1900000004</v>
      </c>
      <c r="P69" s="15">
        <v>507995.24</v>
      </c>
      <c r="Q69" s="15">
        <v>571314.97</v>
      </c>
      <c r="R69" s="15">
        <v>401040.96</v>
      </c>
      <c r="S69" s="15">
        <v>147810.82</v>
      </c>
      <c r="T69" s="15">
        <v>0</v>
      </c>
      <c r="U69" s="15">
        <v>72076.81</v>
      </c>
      <c r="V69" s="15">
        <v>0</v>
      </c>
      <c r="W69" s="15">
        <f t="shared" si="2"/>
        <v>56511994.600000001</v>
      </c>
      <c r="X69" s="15">
        <v>0</v>
      </c>
      <c r="Y69" s="15">
        <v>0</v>
      </c>
      <c r="Z69" s="15">
        <v>359778.76</v>
      </c>
      <c r="AA69" s="15">
        <v>0</v>
      </c>
      <c r="AB69" s="15">
        <f t="shared" si="3"/>
        <v>359778.76</v>
      </c>
      <c r="AC69" s="15">
        <v>7310316.3899999997</v>
      </c>
      <c r="AD69" s="15">
        <v>22456532.620000001</v>
      </c>
      <c r="AE69" s="15">
        <v>44713686.25</v>
      </c>
      <c r="AF69" s="15">
        <f t="shared" si="4"/>
        <v>74480535.260000005</v>
      </c>
      <c r="AG69" s="15">
        <v>0</v>
      </c>
      <c r="AH69" s="15">
        <v>323588.78000000003</v>
      </c>
      <c r="AI69" s="15">
        <v>0</v>
      </c>
      <c r="AJ69" s="16"/>
      <c r="AK69" s="15">
        <f t="shared" si="5"/>
        <v>12716937.76</v>
      </c>
      <c r="AL69" s="17">
        <f t="shared" si="6"/>
        <v>56871773.359999999</v>
      </c>
      <c r="AM69" s="22">
        <v>-281695</v>
      </c>
      <c r="AN69" s="19"/>
      <c r="AO69" s="15">
        <f t="shared" si="7"/>
        <v>144111140.16000003</v>
      </c>
      <c r="AP69" s="15">
        <f t="shared" si="8"/>
        <v>144392835.16000003</v>
      </c>
      <c r="AQ69" s="15">
        <f t="shared" si="9"/>
        <v>69588711.120000005</v>
      </c>
      <c r="AU69" s="33"/>
      <c r="AV69" s="33"/>
    </row>
    <row r="70" spans="2:48" s="20" customFormat="1" x14ac:dyDescent="0.25">
      <c r="B70" s="26">
        <v>41426</v>
      </c>
      <c r="C70" s="15">
        <v>2114737.39</v>
      </c>
      <c r="D70" s="15">
        <v>5054488</v>
      </c>
      <c r="E70" s="15">
        <v>6413275.3799999999</v>
      </c>
      <c r="F70" s="15">
        <v>331956.07</v>
      </c>
      <c r="G70" s="15">
        <f t="shared" ref="G70:G133" si="10">SUM(C70:F70)</f>
        <v>13914456.84</v>
      </c>
      <c r="H70" s="15">
        <v>2666792.4500000002</v>
      </c>
      <c r="I70" s="15">
        <v>956702.90999999992</v>
      </c>
      <c r="J70" s="15">
        <v>1613480.3899999997</v>
      </c>
      <c r="K70" s="15">
        <f t="shared" ref="K70:K133" si="11">SUM(G70:J70)</f>
        <v>19151432.59</v>
      </c>
      <c r="L70" s="15">
        <v>0</v>
      </c>
      <c r="M70" s="15">
        <v>0</v>
      </c>
      <c r="N70" s="15">
        <v>46873959.219999999</v>
      </c>
      <c r="O70" s="15">
        <v>12187525.67</v>
      </c>
      <c r="P70" s="15">
        <v>167543.88</v>
      </c>
      <c r="Q70" s="15">
        <v>670496.63</v>
      </c>
      <c r="R70" s="15">
        <v>392086.63</v>
      </c>
      <c r="S70" s="15">
        <v>436163.95</v>
      </c>
      <c r="T70" s="15">
        <v>-256050.9</v>
      </c>
      <c r="U70" s="15">
        <v>76268.539999999994</v>
      </c>
      <c r="V70" s="15">
        <v>0</v>
      </c>
      <c r="W70" s="15">
        <f t="shared" ref="W70:W133" si="12">SUM(N70:V70)</f>
        <v>60547993.620000012</v>
      </c>
      <c r="X70" s="15">
        <v>0</v>
      </c>
      <c r="Y70" s="15">
        <v>0</v>
      </c>
      <c r="Z70" s="15">
        <v>382272.45</v>
      </c>
      <c r="AA70" s="15">
        <v>0</v>
      </c>
      <c r="AB70" s="15">
        <f t="shared" ref="AB70:AB133" si="13">SUM(X70:AA70)</f>
        <v>382272.45</v>
      </c>
      <c r="AC70" s="15">
        <v>7310316.3899999997</v>
      </c>
      <c r="AD70" s="15">
        <v>22456532.620000001</v>
      </c>
      <c r="AE70" s="15">
        <v>0</v>
      </c>
      <c r="AF70" s="15">
        <f t="shared" ref="AF70:AF133" si="14">SUM(AC70:AE70)</f>
        <v>29766849.010000002</v>
      </c>
      <c r="AG70" s="15">
        <v>0</v>
      </c>
      <c r="AH70" s="15">
        <v>274930.73</v>
      </c>
      <c r="AI70" s="15">
        <v>0</v>
      </c>
      <c r="AJ70" s="16"/>
      <c r="AK70" s="15">
        <f t="shared" ref="AK70:AK133" si="15">K70+L70+M70</f>
        <v>19151432.59</v>
      </c>
      <c r="AL70" s="17">
        <f t="shared" ref="AL70:AL133" si="16">W70+AB70</f>
        <v>60930266.070000015</v>
      </c>
      <c r="AM70" s="22">
        <v>-59940000</v>
      </c>
      <c r="AN70" s="19"/>
      <c r="AO70" s="15">
        <f t="shared" ref="AO70:AO133" si="17">AF70+AG70+AH70+AI70+AK70+AL70+AM70</f>
        <v>50183478.400000006</v>
      </c>
      <c r="AP70" s="15">
        <f t="shared" ref="AP70:AP133" si="18">AO70-AM70-AI70</f>
        <v>110123478.40000001</v>
      </c>
      <c r="AQ70" s="15">
        <f t="shared" ref="AQ70:AQ133" si="19">AK70+AL70</f>
        <v>80081698.660000011</v>
      </c>
      <c r="AU70" s="33"/>
      <c r="AV70" s="33"/>
    </row>
    <row r="71" spans="2:48" s="20" customFormat="1" x14ac:dyDescent="0.25">
      <c r="B71" s="27">
        <v>41456</v>
      </c>
      <c r="C71" s="15">
        <v>1836559.3600000001</v>
      </c>
      <c r="D71" s="15">
        <v>7318228.5</v>
      </c>
      <c r="E71" s="15">
        <v>6493173.3499999996</v>
      </c>
      <c r="F71" s="15">
        <v>25323.08</v>
      </c>
      <c r="G71" s="15">
        <f t="shared" si="10"/>
        <v>15673284.289999999</v>
      </c>
      <c r="H71" s="15">
        <v>3416802.21</v>
      </c>
      <c r="I71" s="15">
        <v>2835140.25</v>
      </c>
      <c r="J71" s="15">
        <v>5804319.5500000007</v>
      </c>
      <c r="K71" s="15">
        <f t="shared" si="11"/>
        <v>27729546.300000001</v>
      </c>
      <c r="L71" s="15">
        <v>0</v>
      </c>
      <c r="M71" s="15">
        <v>0</v>
      </c>
      <c r="N71" s="15">
        <v>57153285.630000003</v>
      </c>
      <c r="O71" s="15">
        <v>4686165.5199999996</v>
      </c>
      <c r="P71" s="15">
        <v>173808.84</v>
      </c>
      <c r="Q71" s="15">
        <v>680962.63</v>
      </c>
      <c r="R71" s="15">
        <v>182705.37</v>
      </c>
      <c r="S71" s="15">
        <v>144700.19</v>
      </c>
      <c r="T71" s="15">
        <v>0</v>
      </c>
      <c r="U71" s="15">
        <v>85256.72</v>
      </c>
      <c r="V71" s="15">
        <v>0</v>
      </c>
      <c r="W71" s="15">
        <f t="shared" si="12"/>
        <v>63106884.900000006</v>
      </c>
      <c r="X71" s="15">
        <v>0</v>
      </c>
      <c r="Y71" s="15">
        <v>0</v>
      </c>
      <c r="Z71" s="15">
        <v>395871.98</v>
      </c>
      <c r="AA71" s="15">
        <v>0</v>
      </c>
      <c r="AB71" s="15">
        <f t="shared" si="13"/>
        <v>395871.98</v>
      </c>
      <c r="AC71" s="15">
        <v>7310345.5099999998</v>
      </c>
      <c r="AD71" s="15">
        <v>22456532.620000001</v>
      </c>
      <c r="AE71" s="15">
        <v>700000</v>
      </c>
      <c r="AF71" s="15">
        <f t="shared" si="14"/>
        <v>30466878.130000003</v>
      </c>
      <c r="AG71" s="15">
        <v>0</v>
      </c>
      <c r="AH71" s="15">
        <v>250507.06</v>
      </c>
      <c r="AI71" s="15">
        <v>0</v>
      </c>
      <c r="AJ71" s="16"/>
      <c r="AK71" s="15">
        <f t="shared" si="15"/>
        <v>27729546.300000001</v>
      </c>
      <c r="AL71" s="17">
        <f t="shared" si="16"/>
        <v>63502756.880000003</v>
      </c>
      <c r="AM71" s="22">
        <v>-6810608.1399999997</v>
      </c>
      <c r="AN71" s="19"/>
      <c r="AO71" s="15">
        <f t="shared" si="17"/>
        <v>115139080.23</v>
      </c>
      <c r="AP71" s="15">
        <f t="shared" si="18"/>
        <v>121949688.37</v>
      </c>
      <c r="AQ71" s="15">
        <f t="shared" si="19"/>
        <v>91232303.180000007</v>
      </c>
      <c r="AU71" s="33"/>
      <c r="AV71" s="33"/>
    </row>
    <row r="72" spans="2:48" s="20" customFormat="1" x14ac:dyDescent="0.25">
      <c r="B72" s="28">
        <v>41487</v>
      </c>
      <c r="C72" s="15">
        <v>1596286.19</v>
      </c>
      <c r="D72" s="15">
        <v>0</v>
      </c>
      <c r="E72" s="15">
        <v>5068075.79</v>
      </c>
      <c r="F72" s="15">
        <v>6409.5599999999995</v>
      </c>
      <c r="G72" s="15">
        <f t="shared" si="10"/>
        <v>6670771.54</v>
      </c>
      <c r="H72" s="15">
        <v>3771710.85</v>
      </c>
      <c r="I72" s="15">
        <v>794246.35000000009</v>
      </c>
      <c r="J72" s="15">
        <v>1833744.82</v>
      </c>
      <c r="K72" s="15">
        <f t="shared" si="11"/>
        <v>13070473.560000001</v>
      </c>
      <c r="L72" s="15">
        <v>0</v>
      </c>
      <c r="M72" s="15">
        <v>0</v>
      </c>
      <c r="N72" s="15">
        <v>59270887.170000002</v>
      </c>
      <c r="O72" s="15">
        <v>5548639.5899999999</v>
      </c>
      <c r="P72" s="15">
        <v>366991.97</v>
      </c>
      <c r="Q72" s="15">
        <v>724938.14</v>
      </c>
      <c r="R72" s="15">
        <v>529921.32999999996</v>
      </c>
      <c r="S72" s="15">
        <v>133456.37</v>
      </c>
      <c r="T72" s="15">
        <v>0</v>
      </c>
      <c r="U72" s="15">
        <v>68118.69</v>
      </c>
      <c r="V72" s="15">
        <v>0</v>
      </c>
      <c r="W72" s="15">
        <f t="shared" si="12"/>
        <v>66642953.259999998</v>
      </c>
      <c r="X72" s="15">
        <v>0</v>
      </c>
      <c r="Y72" s="15">
        <v>0</v>
      </c>
      <c r="Z72" s="15">
        <v>321531.65000000002</v>
      </c>
      <c r="AA72" s="15">
        <v>0</v>
      </c>
      <c r="AB72" s="15">
        <f t="shared" si="13"/>
        <v>321531.65000000002</v>
      </c>
      <c r="AC72" s="15">
        <v>7310316.3899999997</v>
      </c>
      <c r="AD72" s="15">
        <v>22456532.620000001</v>
      </c>
      <c r="AE72" s="15">
        <v>13535155.800000001</v>
      </c>
      <c r="AF72" s="15">
        <f t="shared" si="14"/>
        <v>43302004.810000002</v>
      </c>
      <c r="AG72" s="15">
        <v>0</v>
      </c>
      <c r="AH72" s="15">
        <v>78754.95</v>
      </c>
      <c r="AI72" s="15">
        <v>0</v>
      </c>
      <c r="AJ72" s="16"/>
      <c r="AK72" s="15">
        <f t="shared" si="15"/>
        <v>13070473.560000001</v>
      </c>
      <c r="AL72" s="17">
        <f t="shared" si="16"/>
        <v>66964484.909999996</v>
      </c>
      <c r="AM72" s="22">
        <v>-98.6</v>
      </c>
      <c r="AN72" s="19"/>
      <c r="AO72" s="15">
        <f t="shared" si="17"/>
        <v>123415619.63000001</v>
      </c>
      <c r="AP72" s="15">
        <f t="shared" si="18"/>
        <v>123415718.23</v>
      </c>
      <c r="AQ72" s="15">
        <f t="shared" si="19"/>
        <v>80034958.469999999</v>
      </c>
      <c r="AV72" s="33"/>
    </row>
    <row r="73" spans="2:48" s="20" customFormat="1" x14ac:dyDescent="0.25">
      <c r="B73" s="29">
        <v>41518</v>
      </c>
      <c r="C73" s="15">
        <v>1356969.32</v>
      </c>
      <c r="D73" s="15">
        <v>0</v>
      </c>
      <c r="E73" s="15">
        <v>5472146</v>
      </c>
      <c r="F73" s="15">
        <v>35047</v>
      </c>
      <c r="G73" s="15">
        <f t="shared" si="10"/>
        <v>6864162.3200000003</v>
      </c>
      <c r="H73" s="15">
        <v>3146763.25</v>
      </c>
      <c r="I73" s="15">
        <v>535005.42999999993</v>
      </c>
      <c r="J73" s="15">
        <v>1150856.26</v>
      </c>
      <c r="K73" s="15">
        <f t="shared" si="11"/>
        <v>11696787.26</v>
      </c>
      <c r="L73" s="15">
        <v>0</v>
      </c>
      <c r="M73" s="15">
        <v>0</v>
      </c>
      <c r="N73" s="15">
        <v>34474859.649999999</v>
      </c>
      <c r="O73" s="15">
        <v>7451537.7800000003</v>
      </c>
      <c r="P73" s="15">
        <v>197709.58</v>
      </c>
      <c r="Q73" s="15">
        <v>0</v>
      </c>
      <c r="R73" s="15">
        <v>497554.63</v>
      </c>
      <c r="S73" s="15">
        <v>137742.10999999999</v>
      </c>
      <c r="T73" s="15">
        <v>0</v>
      </c>
      <c r="U73" s="15">
        <v>0</v>
      </c>
      <c r="V73" s="15">
        <v>0</v>
      </c>
      <c r="W73" s="15">
        <f t="shared" si="12"/>
        <v>42759403.75</v>
      </c>
      <c r="X73" s="15">
        <v>0</v>
      </c>
      <c r="Y73" s="15">
        <v>0</v>
      </c>
      <c r="Z73" s="15">
        <v>389623.74</v>
      </c>
      <c r="AA73" s="15">
        <v>0</v>
      </c>
      <c r="AB73" s="15">
        <f t="shared" si="13"/>
        <v>389623.74</v>
      </c>
      <c r="AC73" s="15">
        <v>7310316.3899999997</v>
      </c>
      <c r="AD73" s="15">
        <v>22456532.620000001</v>
      </c>
      <c r="AE73" s="15">
        <v>2474755</v>
      </c>
      <c r="AF73" s="15">
        <f t="shared" si="14"/>
        <v>32241604.010000002</v>
      </c>
      <c r="AG73" s="15">
        <v>0</v>
      </c>
      <c r="AH73" s="15">
        <v>582672.75</v>
      </c>
      <c r="AI73" s="15">
        <v>1449610.05</v>
      </c>
      <c r="AJ73" s="16"/>
      <c r="AK73" s="15">
        <f t="shared" si="15"/>
        <v>11696787.26</v>
      </c>
      <c r="AL73" s="17">
        <f t="shared" si="16"/>
        <v>43149027.490000002</v>
      </c>
      <c r="AM73" s="22">
        <v>-235</v>
      </c>
      <c r="AN73" s="19"/>
      <c r="AO73" s="15">
        <f t="shared" si="17"/>
        <v>89119466.560000002</v>
      </c>
      <c r="AP73" s="15">
        <f t="shared" si="18"/>
        <v>87670091.510000005</v>
      </c>
      <c r="AQ73" s="15">
        <f t="shared" si="19"/>
        <v>54845814.75</v>
      </c>
      <c r="AU73" s="33"/>
      <c r="AV73" s="33"/>
    </row>
    <row r="74" spans="2:48" s="20" customFormat="1" x14ac:dyDescent="0.25">
      <c r="B74" s="30">
        <v>41548</v>
      </c>
      <c r="C74" s="15">
        <v>1662507.21</v>
      </c>
      <c r="D74" s="15">
        <v>0</v>
      </c>
      <c r="E74" s="15">
        <v>4753992.01</v>
      </c>
      <c r="F74" s="15">
        <v>87105.2</v>
      </c>
      <c r="G74" s="15">
        <f t="shared" si="10"/>
        <v>6503604.4199999999</v>
      </c>
      <c r="H74" s="15">
        <v>2803082.13</v>
      </c>
      <c r="I74" s="15">
        <v>712271.74</v>
      </c>
      <c r="J74" s="15">
        <v>6993943.8799999999</v>
      </c>
      <c r="K74" s="15">
        <f t="shared" si="11"/>
        <v>17012902.170000002</v>
      </c>
      <c r="L74" s="15">
        <v>0</v>
      </c>
      <c r="M74" s="15">
        <v>0</v>
      </c>
      <c r="N74" s="15">
        <v>95572033.019999996</v>
      </c>
      <c r="O74" s="15">
        <v>12102974.74</v>
      </c>
      <c r="P74" s="15">
        <v>173808.84</v>
      </c>
      <c r="Q74" s="15">
        <v>713151.43</v>
      </c>
      <c r="R74" s="15">
        <v>1167338.76</v>
      </c>
      <c r="S74" s="15">
        <v>147073.4</v>
      </c>
      <c r="T74" s="15">
        <v>0</v>
      </c>
      <c r="U74" s="15">
        <v>85934.88</v>
      </c>
      <c r="V74" s="15">
        <v>0</v>
      </c>
      <c r="W74" s="15">
        <f t="shared" si="12"/>
        <v>109962315.07000001</v>
      </c>
      <c r="X74" s="15">
        <v>0</v>
      </c>
      <c r="Y74" s="15">
        <v>0</v>
      </c>
      <c r="Z74" s="15">
        <v>359646.43</v>
      </c>
      <c r="AA74" s="15">
        <v>0</v>
      </c>
      <c r="AB74" s="15">
        <f t="shared" si="13"/>
        <v>359646.43</v>
      </c>
      <c r="AC74" s="15">
        <v>7310316.3899999997</v>
      </c>
      <c r="AD74" s="15">
        <v>22456532.620000001</v>
      </c>
      <c r="AE74" s="15">
        <v>70558323.049999997</v>
      </c>
      <c r="AF74" s="15">
        <f t="shared" si="14"/>
        <v>100325172.06</v>
      </c>
      <c r="AG74" s="15">
        <v>0</v>
      </c>
      <c r="AH74" s="15">
        <v>88779.67</v>
      </c>
      <c r="AI74" s="15">
        <v>8791200</v>
      </c>
      <c r="AJ74" s="16"/>
      <c r="AK74" s="15">
        <f t="shared" si="15"/>
        <v>17012902.170000002</v>
      </c>
      <c r="AL74" s="17">
        <f t="shared" si="16"/>
        <v>110321961.50000001</v>
      </c>
      <c r="AM74" s="22">
        <v>0</v>
      </c>
      <c r="AN74" s="19"/>
      <c r="AO74" s="15">
        <f t="shared" si="17"/>
        <v>236540015.40000004</v>
      </c>
      <c r="AP74" s="15">
        <f t="shared" si="18"/>
        <v>227748815.40000004</v>
      </c>
      <c r="AQ74" s="15">
        <f t="shared" si="19"/>
        <v>127334863.67000002</v>
      </c>
      <c r="AV74" s="33"/>
    </row>
    <row r="75" spans="2:48" s="20" customFormat="1" x14ac:dyDescent="0.25">
      <c r="B75" s="31">
        <v>41579</v>
      </c>
      <c r="C75" s="15">
        <v>2111557.0299999998</v>
      </c>
      <c r="D75" s="15">
        <v>0</v>
      </c>
      <c r="E75" s="15">
        <v>6324886.8099999996</v>
      </c>
      <c r="F75" s="15">
        <v>35929.74</v>
      </c>
      <c r="G75" s="15">
        <f t="shared" si="10"/>
        <v>8472373.5800000001</v>
      </c>
      <c r="H75" s="15">
        <v>5028319.54</v>
      </c>
      <c r="I75" s="15">
        <v>733447.14</v>
      </c>
      <c r="J75" s="15">
        <v>1335183.92</v>
      </c>
      <c r="K75" s="15">
        <f t="shared" si="11"/>
        <v>15569324.180000002</v>
      </c>
      <c r="L75" s="15">
        <v>0</v>
      </c>
      <c r="M75" s="15">
        <v>0</v>
      </c>
      <c r="N75" s="15">
        <v>74332528.359999999</v>
      </c>
      <c r="O75" s="15">
        <v>0</v>
      </c>
      <c r="P75" s="15">
        <v>430048.45</v>
      </c>
      <c r="Q75" s="15">
        <v>1382456.61</v>
      </c>
      <c r="R75" s="15">
        <v>0</v>
      </c>
      <c r="S75" s="15">
        <v>116815.72</v>
      </c>
      <c r="T75" s="15">
        <v>0</v>
      </c>
      <c r="U75" s="15">
        <v>156611.26999999999</v>
      </c>
      <c r="V75" s="15">
        <v>0</v>
      </c>
      <c r="W75" s="15">
        <f t="shared" si="12"/>
        <v>76418460.409999996</v>
      </c>
      <c r="X75" s="15">
        <v>0</v>
      </c>
      <c r="Y75" s="15">
        <v>0</v>
      </c>
      <c r="Z75" s="15">
        <v>275988.71000000002</v>
      </c>
      <c r="AA75" s="15">
        <v>0</v>
      </c>
      <c r="AB75" s="15">
        <f t="shared" si="13"/>
        <v>275988.71000000002</v>
      </c>
      <c r="AC75" s="15">
        <v>7310316.3700000001</v>
      </c>
      <c r="AD75" s="15">
        <v>22456532.620000001</v>
      </c>
      <c r="AE75" s="15">
        <v>11599414.619999999</v>
      </c>
      <c r="AF75" s="15">
        <f t="shared" si="14"/>
        <v>41366263.609999999</v>
      </c>
      <c r="AG75" s="15">
        <v>0</v>
      </c>
      <c r="AH75" s="15">
        <v>630321.06999999995</v>
      </c>
      <c r="AI75" s="15">
        <v>0</v>
      </c>
      <c r="AJ75" s="16"/>
      <c r="AK75" s="15">
        <f t="shared" si="15"/>
        <v>15569324.180000002</v>
      </c>
      <c r="AL75" s="17">
        <f t="shared" si="16"/>
        <v>76694449.11999999</v>
      </c>
      <c r="AM75" s="22">
        <v>0</v>
      </c>
      <c r="AN75" s="19"/>
      <c r="AO75" s="15">
        <f t="shared" si="17"/>
        <v>134260357.97999999</v>
      </c>
      <c r="AP75" s="15">
        <f t="shared" si="18"/>
        <v>134260357.97999999</v>
      </c>
      <c r="AQ75" s="15">
        <f t="shared" si="19"/>
        <v>92263773.299999997</v>
      </c>
      <c r="AU75" s="33"/>
      <c r="AV75" s="33"/>
    </row>
    <row r="76" spans="2:48" s="20" customFormat="1" x14ac:dyDescent="0.25">
      <c r="B76" s="32">
        <v>41609</v>
      </c>
      <c r="C76" s="15">
        <v>4010002.39</v>
      </c>
      <c r="D76" s="15">
        <v>0</v>
      </c>
      <c r="E76" s="15">
        <v>7422385.1200000001</v>
      </c>
      <c r="F76" s="15">
        <v>39902.329999999994</v>
      </c>
      <c r="G76" s="15">
        <f t="shared" si="10"/>
        <v>11472289.84</v>
      </c>
      <c r="H76" s="15">
        <v>4306480.01</v>
      </c>
      <c r="I76" s="15">
        <v>895560.5399999998</v>
      </c>
      <c r="J76" s="15">
        <v>1430926.49</v>
      </c>
      <c r="K76" s="15">
        <f t="shared" si="11"/>
        <v>18105256.879999999</v>
      </c>
      <c r="L76" s="15">
        <v>0</v>
      </c>
      <c r="M76" s="15">
        <v>0</v>
      </c>
      <c r="N76" s="15">
        <v>62854395.939999998</v>
      </c>
      <c r="O76" s="15">
        <v>8796682.9800000004</v>
      </c>
      <c r="P76" s="15">
        <v>173808.84</v>
      </c>
      <c r="Q76" s="15">
        <v>708071.46</v>
      </c>
      <c r="R76" s="15">
        <v>1076948.27</v>
      </c>
      <c r="S76" s="15">
        <v>121273.02</v>
      </c>
      <c r="T76" s="15">
        <v>20</v>
      </c>
      <c r="U76" s="15">
        <v>86953.3</v>
      </c>
      <c r="V76" s="15">
        <v>0</v>
      </c>
      <c r="W76" s="15">
        <f t="shared" si="12"/>
        <v>73818153.809999987</v>
      </c>
      <c r="X76" s="15">
        <v>0</v>
      </c>
      <c r="Y76" s="15">
        <v>0</v>
      </c>
      <c r="Z76" s="15">
        <v>403762.75</v>
      </c>
      <c r="AA76" s="15">
        <v>0</v>
      </c>
      <c r="AB76" s="15">
        <f t="shared" si="13"/>
        <v>403762.75</v>
      </c>
      <c r="AC76" s="15">
        <v>0</v>
      </c>
      <c r="AD76" s="15">
        <v>44913064.579999998</v>
      </c>
      <c r="AE76" s="15">
        <v>21857176.32</v>
      </c>
      <c r="AF76" s="15">
        <f t="shared" si="14"/>
        <v>66770240.899999999</v>
      </c>
      <c r="AG76" s="15">
        <v>0</v>
      </c>
      <c r="AH76" s="15">
        <v>702990.09000000008</v>
      </c>
      <c r="AI76" s="15">
        <v>29880999.949999999</v>
      </c>
      <c r="AJ76" s="16"/>
      <c r="AK76" s="15">
        <f t="shared" si="15"/>
        <v>18105256.879999999</v>
      </c>
      <c r="AL76" s="17">
        <f t="shared" si="16"/>
        <v>74221916.559999987</v>
      </c>
      <c r="AM76" s="22">
        <v>9187300.1600000001</v>
      </c>
      <c r="AN76" s="19"/>
      <c r="AO76" s="15">
        <f t="shared" si="17"/>
        <v>198868704.53999999</v>
      </c>
      <c r="AP76" s="15">
        <f t="shared" si="18"/>
        <v>159800404.43000001</v>
      </c>
      <c r="AQ76" s="15">
        <f t="shared" si="19"/>
        <v>92327173.439999983</v>
      </c>
      <c r="AU76" s="33"/>
      <c r="AV76" s="33"/>
    </row>
    <row r="77" spans="2:48" s="20" customFormat="1" x14ac:dyDescent="0.25">
      <c r="B77" s="14">
        <v>41640</v>
      </c>
      <c r="C77" s="15">
        <v>78063449.989999995</v>
      </c>
      <c r="D77" s="15">
        <v>0</v>
      </c>
      <c r="E77" s="15">
        <v>4171926.77</v>
      </c>
      <c r="F77" s="15">
        <v>293072.03000000003</v>
      </c>
      <c r="G77" s="15">
        <f t="shared" si="10"/>
        <v>82528448.789999992</v>
      </c>
      <c r="H77" s="15">
        <v>5278203.59</v>
      </c>
      <c r="I77" s="15">
        <v>411995.82</v>
      </c>
      <c r="J77" s="15">
        <v>6933649.5099999998</v>
      </c>
      <c r="K77" s="15">
        <f t="shared" si="11"/>
        <v>95152297.709999993</v>
      </c>
      <c r="L77" s="15">
        <v>0</v>
      </c>
      <c r="M77" s="15">
        <v>0</v>
      </c>
      <c r="N77" s="15">
        <v>62360508.420000002</v>
      </c>
      <c r="O77" s="15">
        <v>7459274.1699999999</v>
      </c>
      <c r="P77" s="15">
        <v>173808.84</v>
      </c>
      <c r="Q77" s="15">
        <v>700702.87</v>
      </c>
      <c r="R77" s="15">
        <v>464689.71</v>
      </c>
      <c r="S77" s="15">
        <v>128796.68</v>
      </c>
      <c r="T77" s="15">
        <v>0</v>
      </c>
      <c r="U77" s="15">
        <v>89561.59</v>
      </c>
      <c r="V77" s="15">
        <v>0</v>
      </c>
      <c r="W77" s="15">
        <f t="shared" si="12"/>
        <v>71377342.280000016</v>
      </c>
      <c r="X77" s="15">
        <v>0</v>
      </c>
      <c r="Y77" s="15">
        <v>0</v>
      </c>
      <c r="Z77" s="15">
        <v>316659.13</v>
      </c>
      <c r="AA77" s="15">
        <v>0</v>
      </c>
      <c r="AB77" s="15">
        <f t="shared" si="13"/>
        <v>316659.13</v>
      </c>
      <c r="AC77" s="15">
        <v>0</v>
      </c>
      <c r="AD77" s="15">
        <v>0</v>
      </c>
      <c r="AE77" s="15">
        <v>0</v>
      </c>
      <c r="AF77" s="15">
        <f t="shared" si="14"/>
        <v>0</v>
      </c>
      <c r="AG77" s="15">
        <v>0</v>
      </c>
      <c r="AH77" s="15">
        <v>0</v>
      </c>
      <c r="AI77" s="15">
        <v>0</v>
      </c>
      <c r="AJ77" s="16"/>
      <c r="AK77" s="15">
        <f t="shared" si="15"/>
        <v>95152297.709999993</v>
      </c>
      <c r="AL77" s="17">
        <f t="shared" si="16"/>
        <v>71694001.410000011</v>
      </c>
      <c r="AM77" s="22">
        <v>-1081588.49</v>
      </c>
      <c r="AN77" s="19"/>
      <c r="AO77" s="15">
        <f t="shared" si="17"/>
        <v>165764710.63</v>
      </c>
      <c r="AP77" s="15">
        <f t="shared" si="18"/>
        <v>166846299.12</v>
      </c>
      <c r="AQ77" s="15">
        <f t="shared" si="19"/>
        <v>166846299.12</v>
      </c>
    </row>
    <row r="78" spans="2:48" s="20" customFormat="1" x14ac:dyDescent="0.25">
      <c r="B78" s="21">
        <v>41671</v>
      </c>
      <c r="C78" s="15">
        <v>10449663.84</v>
      </c>
      <c r="D78" s="15">
        <v>0</v>
      </c>
      <c r="E78" s="15">
        <v>3640687.31</v>
      </c>
      <c r="F78" s="15">
        <v>216797.51</v>
      </c>
      <c r="G78" s="15">
        <f t="shared" si="10"/>
        <v>14307148.66</v>
      </c>
      <c r="H78" s="15">
        <v>3224196.13</v>
      </c>
      <c r="I78" s="15">
        <v>923272.9600000002</v>
      </c>
      <c r="J78" s="15">
        <v>2006735.98</v>
      </c>
      <c r="K78" s="15">
        <f t="shared" si="11"/>
        <v>20461353.73</v>
      </c>
      <c r="L78" s="15">
        <v>0</v>
      </c>
      <c r="M78" s="15">
        <v>0</v>
      </c>
      <c r="N78" s="15">
        <v>17831926.02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f t="shared" si="12"/>
        <v>17831926.02</v>
      </c>
      <c r="X78" s="15">
        <v>0</v>
      </c>
      <c r="Y78" s="15">
        <v>0</v>
      </c>
      <c r="Z78" s="15">
        <v>0</v>
      </c>
      <c r="AA78" s="15">
        <v>0</v>
      </c>
      <c r="AB78" s="15">
        <f t="shared" si="13"/>
        <v>0</v>
      </c>
      <c r="AC78" s="15">
        <v>6560843.4800000004</v>
      </c>
      <c r="AD78" s="15">
        <v>24178658.109999999</v>
      </c>
      <c r="AE78" s="15">
        <v>0</v>
      </c>
      <c r="AF78" s="15">
        <f t="shared" si="14"/>
        <v>30739501.59</v>
      </c>
      <c r="AG78" s="15">
        <v>0</v>
      </c>
      <c r="AH78" s="15">
        <v>330091.66000000003</v>
      </c>
      <c r="AI78" s="15">
        <v>0</v>
      </c>
      <c r="AJ78" s="16"/>
      <c r="AK78" s="15">
        <f t="shared" si="15"/>
        <v>20461353.73</v>
      </c>
      <c r="AL78" s="17">
        <f t="shared" si="16"/>
        <v>17831926.02</v>
      </c>
      <c r="AM78" s="22">
        <v>-230394.05</v>
      </c>
      <c r="AN78" s="19"/>
      <c r="AO78" s="15">
        <f t="shared" si="17"/>
        <v>69132478.950000003</v>
      </c>
      <c r="AP78" s="15">
        <f t="shared" si="18"/>
        <v>69362873</v>
      </c>
      <c r="AQ78" s="15">
        <f t="shared" si="19"/>
        <v>38293279.75</v>
      </c>
      <c r="AU78" s="33"/>
      <c r="AV78" s="33"/>
    </row>
    <row r="79" spans="2:48" s="20" customFormat="1" x14ac:dyDescent="0.25">
      <c r="B79" s="23">
        <v>41699</v>
      </c>
      <c r="C79" s="15">
        <v>9318318.1099999994</v>
      </c>
      <c r="D79" s="15">
        <v>0</v>
      </c>
      <c r="E79" s="15">
        <v>5771883.7400000002</v>
      </c>
      <c r="F79" s="15">
        <v>203447.11</v>
      </c>
      <c r="G79" s="15">
        <f t="shared" si="10"/>
        <v>15293648.959999999</v>
      </c>
      <c r="H79" s="15">
        <v>3161975.03</v>
      </c>
      <c r="I79" s="15">
        <v>835984.76</v>
      </c>
      <c r="J79" s="15">
        <v>1392889.3</v>
      </c>
      <c r="K79" s="15">
        <f t="shared" si="11"/>
        <v>20684498.050000001</v>
      </c>
      <c r="L79" s="15">
        <v>0</v>
      </c>
      <c r="M79" s="15">
        <v>0</v>
      </c>
      <c r="N79" s="15">
        <v>132926792.16</v>
      </c>
      <c r="O79" s="15">
        <v>10037421.16</v>
      </c>
      <c r="P79" s="15">
        <v>751534.71</v>
      </c>
      <c r="Q79" s="15">
        <v>2059851.05</v>
      </c>
      <c r="R79" s="15">
        <v>708395.63</v>
      </c>
      <c r="S79" s="15">
        <v>985638.01</v>
      </c>
      <c r="T79" s="15">
        <v>0</v>
      </c>
      <c r="U79" s="15">
        <v>130327.72</v>
      </c>
      <c r="V79" s="15">
        <v>0</v>
      </c>
      <c r="W79" s="15">
        <f t="shared" si="12"/>
        <v>147599960.44</v>
      </c>
      <c r="X79" s="15">
        <v>0</v>
      </c>
      <c r="Y79" s="15">
        <v>0</v>
      </c>
      <c r="Z79" s="15">
        <v>758178.88</v>
      </c>
      <c r="AA79" s="15">
        <v>0</v>
      </c>
      <c r="AB79" s="15">
        <f t="shared" si="13"/>
        <v>758178.88</v>
      </c>
      <c r="AC79" s="15">
        <v>6644032.1799999997</v>
      </c>
      <c r="AD79" s="15">
        <v>24178658.109999999</v>
      </c>
      <c r="AE79" s="15">
        <v>0</v>
      </c>
      <c r="AF79" s="15">
        <f t="shared" si="14"/>
        <v>30822690.289999999</v>
      </c>
      <c r="AG79" s="15">
        <v>0</v>
      </c>
      <c r="AH79" s="15">
        <v>267253.78000000003</v>
      </c>
      <c r="AI79" s="15">
        <v>0</v>
      </c>
      <c r="AJ79" s="16"/>
      <c r="AK79" s="15">
        <f t="shared" si="15"/>
        <v>20684498.050000001</v>
      </c>
      <c r="AL79" s="17">
        <f t="shared" si="16"/>
        <v>148358139.31999999</v>
      </c>
      <c r="AM79" s="22">
        <v>-5091699.9400000004</v>
      </c>
      <c r="AN79" s="19"/>
      <c r="AO79" s="15">
        <f t="shared" si="17"/>
        <v>195040881.5</v>
      </c>
      <c r="AP79" s="15">
        <f t="shared" si="18"/>
        <v>200132581.44</v>
      </c>
      <c r="AQ79" s="15">
        <f t="shared" si="19"/>
        <v>169042637.37</v>
      </c>
      <c r="AU79" s="33"/>
      <c r="AV79" s="33"/>
    </row>
    <row r="80" spans="2:48" s="20" customFormat="1" x14ac:dyDescent="0.25">
      <c r="B80" s="24">
        <v>41730</v>
      </c>
      <c r="C80" s="15">
        <v>2554641.1000000015</v>
      </c>
      <c r="D80" s="15">
        <v>26456591</v>
      </c>
      <c r="E80" s="15">
        <v>4005330.77</v>
      </c>
      <c r="F80" s="15">
        <v>72329.599999999991</v>
      </c>
      <c r="G80" s="15">
        <f t="shared" si="10"/>
        <v>33088892.470000003</v>
      </c>
      <c r="H80" s="15">
        <v>1993981.61</v>
      </c>
      <c r="I80" s="15">
        <v>169759.36999999997</v>
      </c>
      <c r="J80" s="15">
        <v>678124.35</v>
      </c>
      <c r="K80" s="15">
        <f t="shared" si="11"/>
        <v>35930757.800000004</v>
      </c>
      <c r="L80" s="15">
        <v>0</v>
      </c>
      <c r="M80" s="15">
        <v>0</v>
      </c>
      <c r="N80" s="15">
        <v>0</v>
      </c>
      <c r="O80" s="15">
        <v>6322244.4500000002</v>
      </c>
      <c r="P80" s="15">
        <v>0</v>
      </c>
      <c r="Q80" s="15">
        <v>0</v>
      </c>
      <c r="R80" s="15">
        <v>452824.63</v>
      </c>
      <c r="S80" s="15">
        <v>0</v>
      </c>
      <c r="T80" s="15">
        <v>0</v>
      </c>
      <c r="U80" s="15">
        <v>0</v>
      </c>
      <c r="V80" s="15">
        <v>0</v>
      </c>
      <c r="W80" s="15">
        <f t="shared" si="12"/>
        <v>6775069.0800000001</v>
      </c>
      <c r="X80" s="15">
        <v>0</v>
      </c>
      <c r="Y80" s="15">
        <v>0</v>
      </c>
      <c r="Z80" s="15">
        <v>0</v>
      </c>
      <c r="AA80" s="15">
        <v>0</v>
      </c>
      <c r="AB80" s="15">
        <f t="shared" si="13"/>
        <v>0</v>
      </c>
      <c r="AC80" s="15">
        <v>13288064.359999999</v>
      </c>
      <c r="AD80" s="15">
        <v>48357316.219999999</v>
      </c>
      <c r="AE80" s="15">
        <v>9701892.3399999999</v>
      </c>
      <c r="AF80" s="15">
        <f t="shared" si="14"/>
        <v>71347272.920000002</v>
      </c>
      <c r="AG80" s="15">
        <v>0</v>
      </c>
      <c r="AH80" s="15">
        <v>356517.58999999997</v>
      </c>
      <c r="AI80" s="15">
        <v>0</v>
      </c>
      <c r="AJ80" s="16"/>
      <c r="AK80" s="15">
        <f t="shared" si="15"/>
        <v>35930757.800000004</v>
      </c>
      <c r="AL80" s="17">
        <f t="shared" si="16"/>
        <v>6775069.0800000001</v>
      </c>
      <c r="AM80" s="22">
        <v>-1389865.61</v>
      </c>
      <c r="AN80" s="19"/>
      <c r="AO80" s="15">
        <f t="shared" si="17"/>
        <v>113019751.78</v>
      </c>
      <c r="AP80" s="15">
        <f t="shared" si="18"/>
        <v>114409617.39</v>
      </c>
      <c r="AQ80" s="15">
        <f t="shared" si="19"/>
        <v>42705826.880000003</v>
      </c>
      <c r="AU80" s="33"/>
      <c r="AV80" s="33"/>
    </row>
    <row r="81" spans="2:48" s="20" customFormat="1" x14ac:dyDescent="0.25">
      <c r="B81" s="25">
        <v>41760</v>
      </c>
      <c r="C81" s="15">
        <v>1989876.74</v>
      </c>
      <c r="D81" s="15">
        <v>0</v>
      </c>
      <c r="E81" s="15">
        <v>2961985.61</v>
      </c>
      <c r="F81" s="15">
        <v>36359.96</v>
      </c>
      <c r="G81" s="15">
        <f t="shared" si="10"/>
        <v>4988222.3099999996</v>
      </c>
      <c r="H81" s="15">
        <v>26148494.399999999</v>
      </c>
      <c r="I81" s="15">
        <v>16971885.52</v>
      </c>
      <c r="J81" s="15">
        <v>3070007.19</v>
      </c>
      <c r="K81" s="15">
        <f t="shared" si="11"/>
        <v>51178609.419999994</v>
      </c>
      <c r="L81" s="15">
        <v>0</v>
      </c>
      <c r="M81" s="15">
        <v>0</v>
      </c>
      <c r="N81" s="15">
        <v>121245355.42</v>
      </c>
      <c r="O81" s="15">
        <v>7911042.9900000002</v>
      </c>
      <c r="P81" s="15">
        <v>617502.97</v>
      </c>
      <c r="Q81" s="15">
        <v>1816867.1</v>
      </c>
      <c r="R81" s="15">
        <v>517777.81</v>
      </c>
      <c r="S81" s="15">
        <v>1113929.3500000001</v>
      </c>
      <c r="T81" s="15">
        <v>0</v>
      </c>
      <c r="U81" s="15">
        <v>140336.65</v>
      </c>
      <c r="V81" s="15">
        <v>0</v>
      </c>
      <c r="W81" s="15">
        <f t="shared" si="12"/>
        <v>133362812.28999999</v>
      </c>
      <c r="X81" s="15">
        <v>0</v>
      </c>
      <c r="Y81" s="15">
        <v>0</v>
      </c>
      <c r="Z81" s="15">
        <v>632175.64</v>
      </c>
      <c r="AA81" s="15">
        <v>0</v>
      </c>
      <c r="AB81" s="15">
        <f t="shared" si="13"/>
        <v>632175.64</v>
      </c>
      <c r="AC81" s="15">
        <v>0</v>
      </c>
      <c r="AD81" s="15">
        <v>0</v>
      </c>
      <c r="AE81" s="15">
        <v>9240350.5199999996</v>
      </c>
      <c r="AF81" s="15">
        <f t="shared" si="14"/>
        <v>9240350.5199999996</v>
      </c>
      <c r="AG81" s="15">
        <v>0</v>
      </c>
      <c r="AH81" s="15">
        <v>390101.41000000003</v>
      </c>
      <c r="AI81" s="15">
        <v>0</v>
      </c>
      <c r="AJ81" s="16"/>
      <c r="AK81" s="15">
        <f t="shared" si="15"/>
        <v>51178609.419999994</v>
      </c>
      <c r="AL81" s="17">
        <f t="shared" si="16"/>
        <v>133994987.92999999</v>
      </c>
      <c r="AM81" s="22">
        <v>0</v>
      </c>
      <c r="AN81" s="19"/>
      <c r="AO81" s="15">
        <f t="shared" si="17"/>
        <v>194804049.27999997</v>
      </c>
      <c r="AP81" s="15">
        <f t="shared" si="18"/>
        <v>194804049.27999997</v>
      </c>
      <c r="AQ81" s="15">
        <f t="shared" si="19"/>
        <v>185173597.34999999</v>
      </c>
      <c r="AU81" s="33"/>
      <c r="AV81" s="33"/>
    </row>
    <row r="82" spans="2:48" s="20" customFormat="1" x14ac:dyDescent="0.25">
      <c r="B82" s="26">
        <v>41791</v>
      </c>
      <c r="C82" s="15">
        <v>1958336.38</v>
      </c>
      <c r="D82" s="15">
        <v>0</v>
      </c>
      <c r="E82" s="15">
        <v>6095673.9400000004</v>
      </c>
      <c r="F82" s="15">
        <v>68632.509999999995</v>
      </c>
      <c r="G82" s="15">
        <f t="shared" si="10"/>
        <v>8122642.8300000001</v>
      </c>
      <c r="H82" s="15">
        <v>4342448.03</v>
      </c>
      <c r="I82" s="15">
        <v>768375.54</v>
      </c>
      <c r="J82" s="15">
        <v>737152.37</v>
      </c>
      <c r="K82" s="15">
        <f t="shared" si="11"/>
        <v>13970618.769999998</v>
      </c>
      <c r="L82" s="15">
        <v>0</v>
      </c>
      <c r="M82" s="15">
        <v>0</v>
      </c>
      <c r="N82" s="15">
        <v>10013261.140000001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f t="shared" si="12"/>
        <v>10013261.140000001</v>
      </c>
      <c r="X82" s="15">
        <v>0</v>
      </c>
      <c r="Y82" s="15">
        <v>0</v>
      </c>
      <c r="Z82" s="15">
        <v>0</v>
      </c>
      <c r="AA82" s="15">
        <v>0</v>
      </c>
      <c r="AB82" s="15">
        <f t="shared" si="13"/>
        <v>0</v>
      </c>
      <c r="AC82" s="15">
        <v>6644032.1799999997</v>
      </c>
      <c r="AD82" s="15">
        <v>24178658.109999999</v>
      </c>
      <c r="AE82" s="15">
        <v>0</v>
      </c>
      <c r="AF82" s="15">
        <f t="shared" si="14"/>
        <v>30822690.289999999</v>
      </c>
      <c r="AG82" s="15">
        <v>0</v>
      </c>
      <c r="AH82" s="15">
        <v>533418.67000000004</v>
      </c>
      <c r="AI82" s="15">
        <v>3992000</v>
      </c>
      <c r="AJ82" s="16"/>
      <c r="AK82" s="15">
        <f t="shared" si="15"/>
        <v>13970618.769999998</v>
      </c>
      <c r="AL82" s="17">
        <f t="shared" si="16"/>
        <v>10013261.140000001</v>
      </c>
      <c r="AM82" s="22">
        <v>-153</v>
      </c>
      <c r="AN82" s="19"/>
      <c r="AO82" s="15">
        <f t="shared" si="17"/>
        <v>59331835.869999997</v>
      </c>
      <c r="AP82" s="15">
        <f t="shared" si="18"/>
        <v>55339988.869999997</v>
      </c>
      <c r="AQ82" s="15">
        <f t="shared" si="19"/>
        <v>23983879.909999996</v>
      </c>
      <c r="AU82" s="33"/>
      <c r="AV82" s="33"/>
    </row>
    <row r="83" spans="2:48" s="20" customFormat="1" x14ac:dyDescent="0.25">
      <c r="B83" s="27">
        <v>41821</v>
      </c>
      <c r="C83" s="15">
        <v>3843861.91</v>
      </c>
      <c r="D83" s="15">
        <v>0</v>
      </c>
      <c r="E83" s="15">
        <v>6088207.21</v>
      </c>
      <c r="F83" s="15">
        <v>390520.57999999996</v>
      </c>
      <c r="G83" s="15">
        <f t="shared" si="10"/>
        <v>10322589.700000001</v>
      </c>
      <c r="H83" s="15">
        <v>2499179.58</v>
      </c>
      <c r="I83" s="15">
        <v>1474757.7000000002</v>
      </c>
      <c r="J83" s="15">
        <v>3535216.58</v>
      </c>
      <c r="K83" s="15">
        <f t="shared" si="11"/>
        <v>17831743.560000002</v>
      </c>
      <c r="L83" s="15">
        <v>0</v>
      </c>
      <c r="M83" s="15">
        <v>0</v>
      </c>
      <c r="N83" s="15">
        <v>52854562.75</v>
      </c>
      <c r="O83" s="15">
        <v>14537910.85</v>
      </c>
      <c r="P83" s="15">
        <v>257032.25</v>
      </c>
      <c r="Q83" s="15">
        <v>981039.65</v>
      </c>
      <c r="R83" s="15">
        <v>933394.87</v>
      </c>
      <c r="S83" s="15">
        <v>0</v>
      </c>
      <c r="T83" s="15">
        <v>602238.23</v>
      </c>
      <c r="U83" s="15">
        <v>80378.539999999994</v>
      </c>
      <c r="V83" s="15">
        <v>0</v>
      </c>
      <c r="W83" s="15">
        <f t="shared" si="12"/>
        <v>70246557.140000015</v>
      </c>
      <c r="X83" s="15">
        <v>0</v>
      </c>
      <c r="Y83" s="15">
        <v>0</v>
      </c>
      <c r="Z83" s="15">
        <v>329197.84999999998</v>
      </c>
      <c r="AA83" s="15">
        <v>0</v>
      </c>
      <c r="AB83" s="15">
        <f t="shared" si="13"/>
        <v>329197.84999999998</v>
      </c>
      <c r="AC83" s="15">
        <v>6644032.1799999997</v>
      </c>
      <c r="AD83" s="15">
        <v>24178658.109999999</v>
      </c>
      <c r="AE83" s="15">
        <v>24919820.93</v>
      </c>
      <c r="AF83" s="15">
        <f t="shared" si="14"/>
        <v>55742511.219999999</v>
      </c>
      <c r="AG83" s="15">
        <v>0</v>
      </c>
      <c r="AH83" s="15">
        <v>345778.38</v>
      </c>
      <c r="AI83" s="15">
        <v>0</v>
      </c>
      <c r="AJ83" s="16"/>
      <c r="AK83" s="15">
        <f t="shared" si="15"/>
        <v>17831743.560000002</v>
      </c>
      <c r="AL83" s="17">
        <f t="shared" si="16"/>
        <v>70575754.99000001</v>
      </c>
      <c r="AM83" s="22">
        <v>-42063.46</v>
      </c>
      <c r="AN83" s="19"/>
      <c r="AO83" s="15">
        <f t="shared" si="17"/>
        <v>144453724.69</v>
      </c>
      <c r="AP83" s="15">
        <f t="shared" si="18"/>
        <v>144495788.15000001</v>
      </c>
      <c r="AQ83" s="15">
        <f t="shared" si="19"/>
        <v>88407498.550000012</v>
      </c>
      <c r="AU83" s="33"/>
      <c r="AV83" s="33"/>
    </row>
    <row r="84" spans="2:48" s="20" customFormat="1" x14ac:dyDescent="0.25">
      <c r="B84" s="28">
        <v>41852</v>
      </c>
      <c r="C84" s="15">
        <v>2491534.0299999998</v>
      </c>
      <c r="D84" s="15">
        <v>0</v>
      </c>
      <c r="E84" s="15">
        <v>3414260.42</v>
      </c>
      <c r="F84" s="15">
        <v>84675.760000000009</v>
      </c>
      <c r="G84" s="15">
        <f t="shared" si="10"/>
        <v>5990470.209999999</v>
      </c>
      <c r="H84" s="15">
        <v>3333570.91</v>
      </c>
      <c r="I84" s="15">
        <v>1588425.72</v>
      </c>
      <c r="J84" s="15">
        <v>800733.64</v>
      </c>
      <c r="K84" s="15">
        <f t="shared" si="11"/>
        <v>11713200.48</v>
      </c>
      <c r="L84" s="15">
        <v>0</v>
      </c>
      <c r="M84" s="15">
        <v>0</v>
      </c>
      <c r="N84" s="15">
        <v>116716393.11</v>
      </c>
      <c r="O84" s="15">
        <v>7331363.6799999997</v>
      </c>
      <c r="P84" s="15">
        <v>756006.98</v>
      </c>
      <c r="Q84" s="15">
        <v>1838007.88</v>
      </c>
      <c r="R84" s="15">
        <v>552152.39</v>
      </c>
      <c r="S84" s="15">
        <v>0</v>
      </c>
      <c r="T84" s="15">
        <v>1158935.1499999999</v>
      </c>
      <c r="U84" s="15">
        <v>152716.42000000001</v>
      </c>
      <c r="V84" s="15">
        <v>0</v>
      </c>
      <c r="W84" s="15">
        <f t="shared" si="12"/>
        <v>128505575.61</v>
      </c>
      <c r="X84" s="15">
        <v>0</v>
      </c>
      <c r="Y84" s="15">
        <v>0</v>
      </c>
      <c r="Z84" s="15">
        <v>996953.62</v>
      </c>
      <c r="AA84" s="15">
        <v>0</v>
      </c>
      <c r="AB84" s="15">
        <f t="shared" si="13"/>
        <v>996953.62</v>
      </c>
      <c r="AC84" s="15">
        <v>18669582.710000001</v>
      </c>
      <c r="AD84" s="15">
        <v>24178658.109999999</v>
      </c>
      <c r="AE84" s="15">
        <f>13697235.9</f>
        <v>13697235.9</v>
      </c>
      <c r="AF84" s="15">
        <f t="shared" si="14"/>
        <v>56545476.719999999</v>
      </c>
      <c r="AG84" s="15">
        <v>0</v>
      </c>
      <c r="AH84" s="15">
        <v>272107.13</v>
      </c>
      <c r="AI84" s="15">
        <v>130207575.13</v>
      </c>
      <c r="AJ84" s="16"/>
      <c r="AK84" s="15">
        <f t="shared" si="15"/>
        <v>11713200.48</v>
      </c>
      <c r="AL84" s="17">
        <f t="shared" si="16"/>
        <v>129502529.23</v>
      </c>
      <c r="AM84" s="22">
        <v>0</v>
      </c>
      <c r="AN84" s="19"/>
      <c r="AO84" s="15">
        <f t="shared" si="17"/>
        <v>328240888.69</v>
      </c>
      <c r="AP84" s="15">
        <f t="shared" si="18"/>
        <v>198033313.56</v>
      </c>
      <c r="AQ84" s="15">
        <f t="shared" si="19"/>
        <v>141215729.71000001</v>
      </c>
      <c r="AU84" s="33"/>
      <c r="AV84" s="33"/>
    </row>
    <row r="85" spans="2:48" s="20" customFormat="1" x14ac:dyDescent="0.25">
      <c r="B85" s="29">
        <v>41883</v>
      </c>
      <c r="C85" s="15">
        <v>-24235922.489999998</v>
      </c>
      <c r="D85" s="15">
        <v>0</v>
      </c>
      <c r="E85" s="15">
        <v>6163912.3099999996</v>
      </c>
      <c r="F85" s="15">
        <v>20378.07</v>
      </c>
      <c r="G85" s="15">
        <f t="shared" si="10"/>
        <v>-18051632.109999999</v>
      </c>
      <c r="H85" s="15">
        <v>4192046.94</v>
      </c>
      <c r="I85" s="15">
        <v>521829.4</v>
      </c>
      <c r="J85" s="15">
        <v>855893.25</v>
      </c>
      <c r="K85" s="15">
        <f t="shared" si="11"/>
        <v>-12481862.52</v>
      </c>
      <c r="L85" s="15">
        <v>0</v>
      </c>
      <c r="M85" s="15">
        <v>0</v>
      </c>
      <c r="N85" s="15">
        <v>74525474.349999994</v>
      </c>
      <c r="O85" s="15">
        <v>6242376.7000000002</v>
      </c>
      <c r="P85" s="15">
        <v>248766.01</v>
      </c>
      <c r="Q85" s="15">
        <v>936528.8</v>
      </c>
      <c r="R85" s="15">
        <v>580448.06999999995</v>
      </c>
      <c r="S85" s="15">
        <v>2338876.4500000002</v>
      </c>
      <c r="T85" s="15">
        <v>-1761173.38</v>
      </c>
      <c r="U85" s="15">
        <v>83712.37</v>
      </c>
      <c r="V85" s="15">
        <v>0</v>
      </c>
      <c r="W85" s="15">
        <f t="shared" si="12"/>
        <v>83195009.370000005</v>
      </c>
      <c r="X85" s="15">
        <v>0</v>
      </c>
      <c r="Y85" s="15">
        <v>0</v>
      </c>
      <c r="Z85" s="15">
        <v>352768.56</v>
      </c>
      <c r="AA85" s="15">
        <v>0</v>
      </c>
      <c r="AB85" s="15">
        <f t="shared" si="13"/>
        <v>352768.56</v>
      </c>
      <c r="AC85" s="15">
        <v>8350083.8700000001</v>
      </c>
      <c r="AD85" s="15">
        <v>24178658.109999999</v>
      </c>
      <c r="AE85" s="15">
        <v>94377902.959999993</v>
      </c>
      <c r="AF85" s="15">
        <f t="shared" si="14"/>
        <v>126906644.94</v>
      </c>
      <c r="AG85" s="15">
        <v>0</v>
      </c>
      <c r="AH85" s="15">
        <v>182215.09</v>
      </c>
      <c r="AI85" s="15">
        <v>7769126.9800000004</v>
      </c>
      <c r="AJ85" s="16"/>
      <c r="AK85" s="15">
        <f t="shared" si="15"/>
        <v>-12481862.52</v>
      </c>
      <c r="AL85" s="17">
        <f t="shared" si="16"/>
        <v>83547777.930000007</v>
      </c>
      <c r="AM85" s="22">
        <v>0</v>
      </c>
      <c r="AN85" s="19"/>
      <c r="AO85" s="15">
        <f t="shared" si="17"/>
        <v>205923902.42000002</v>
      </c>
      <c r="AP85" s="15">
        <f t="shared" si="18"/>
        <v>198154775.44000003</v>
      </c>
      <c r="AQ85" s="15">
        <f t="shared" si="19"/>
        <v>71065915.410000011</v>
      </c>
      <c r="AU85" s="33"/>
      <c r="AV85" s="33"/>
    </row>
    <row r="86" spans="2:48" s="20" customFormat="1" x14ac:dyDescent="0.25">
      <c r="B86" s="30">
        <v>41913</v>
      </c>
      <c r="C86" s="15">
        <v>2269128.39</v>
      </c>
      <c r="D86" s="15">
        <v>0</v>
      </c>
      <c r="E86" s="15">
        <v>4638287.38</v>
      </c>
      <c r="F86" s="15">
        <v>610169.26</v>
      </c>
      <c r="G86" s="15">
        <f t="shared" si="10"/>
        <v>7517585.0299999993</v>
      </c>
      <c r="H86" s="15">
        <v>2991014.66</v>
      </c>
      <c r="I86" s="15">
        <v>748386.48</v>
      </c>
      <c r="J86" s="15">
        <v>4437753.4000000004</v>
      </c>
      <c r="K86" s="15">
        <f t="shared" si="11"/>
        <v>15694739.57</v>
      </c>
      <c r="L86" s="15">
        <v>0</v>
      </c>
      <c r="M86" s="15">
        <v>0</v>
      </c>
      <c r="N86" s="15">
        <v>0</v>
      </c>
      <c r="O86" s="15">
        <v>7277648.7599999998</v>
      </c>
      <c r="P86" s="15">
        <v>0</v>
      </c>
      <c r="Q86" s="15">
        <v>0</v>
      </c>
      <c r="R86" s="15">
        <v>559309.31999999995</v>
      </c>
      <c r="S86" s="15">
        <v>0</v>
      </c>
      <c r="T86" s="15">
        <v>0</v>
      </c>
      <c r="U86" s="15">
        <v>0</v>
      </c>
      <c r="V86" s="15">
        <v>0</v>
      </c>
      <c r="W86" s="15">
        <f t="shared" si="12"/>
        <v>7836958.0800000001</v>
      </c>
      <c r="X86" s="15">
        <v>0</v>
      </c>
      <c r="Y86" s="15">
        <v>0</v>
      </c>
      <c r="Z86" s="15">
        <v>0</v>
      </c>
      <c r="AA86" s="15">
        <v>0</v>
      </c>
      <c r="AB86" s="15">
        <f t="shared" si="13"/>
        <v>0</v>
      </c>
      <c r="AC86" s="15">
        <v>8350083.8700000001</v>
      </c>
      <c r="AD86" s="15">
        <v>24178658.109999999</v>
      </c>
      <c r="AE86" s="15">
        <v>1876919</v>
      </c>
      <c r="AF86" s="15">
        <f t="shared" si="14"/>
        <v>34405660.980000004</v>
      </c>
      <c r="AG86" s="15">
        <v>0</v>
      </c>
      <c r="AH86" s="15">
        <v>340667.98000000004</v>
      </c>
      <c r="AI86" s="15">
        <v>550000</v>
      </c>
      <c r="AJ86" s="16"/>
      <c r="AK86" s="15">
        <f t="shared" si="15"/>
        <v>15694739.57</v>
      </c>
      <c r="AL86" s="17">
        <f t="shared" si="16"/>
        <v>7836958.0800000001</v>
      </c>
      <c r="AM86" s="22">
        <v>0</v>
      </c>
      <c r="AN86" s="19"/>
      <c r="AO86" s="15">
        <f t="shared" si="17"/>
        <v>58828026.609999999</v>
      </c>
      <c r="AP86" s="15">
        <f t="shared" si="18"/>
        <v>58278026.609999999</v>
      </c>
      <c r="AQ86" s="15">
        <f t="shared" si="19"/>
        <v>23531697.649999999</v>
      </c>
      <c r="AU86" s="33"/>
      <c r="AV86" s="33"/>
    </row>
    <row r="87" spans="2:48" s="20" customFormat="1" x14ac:dyDescent="0.25">
      <c r="B87" s="31">
        <v>41944</v>
      </c>
      <c r="C87" s="15">
        <v>2231554.7200000002</v>
      </c>
      <c r="D87" s="15">
        <v>0</v>
      </c>
      <c r="E87" s="15">
        <v>3311932.17</v>
      </c>
      <c r="F87" s="15">
        <v>252520.28</v>
      </c>
      <c r="G87" s="15">
        <f t="shared" si="10"/>
        <v>5796007.1700000009</v>
      </c>
      <c r="H87" s="15">
        <v>3712934.59</v>
      </c>
      <c r="I87" s="15">
        <v>663637.03999999992</v>
      </c>
      <c r="J87" s="15">
        <v>557434.66</v>
      </c>
      <c r="K87" s="15">
        <f t="shared" si="11"/>
        <v>10730013.460000001</v>
      </c>
      <c r="L87" s="15">
        <v>0</v>
      </c>
      <c r="M87" s="15">
        <v>0</v>
      </c>
      <c r="N87" s="15">
        <v>64272632.18</v>
      </c>
      <c r="O87" s="15">
        <v>6514205.4800000004</v>
      </c>
      <c r="P87" s="15">
        <v>248766.01</v>
      </c>
      <c r="Q87" s="15">
        <v>0</v>
      </c>
      <c r="R87" s="15">
        <v>511527.62</v>
      </c>
      <c r="S87" s="15">
        <v>536139.98</v>
      </c>
      <c r="T87" s="15">
        <v>0</v>
      </c>
      <c r="U87" s="15">
        <v>88821.57</v>
      </c>
      <c r="V87" s="15">
        <v>0</v>
      </c>
      <c r="W87" s="15">
        <f t="shared" si="12"/>
        <v>72172092.840000004</v>
      </c>
      <c r="X87" s="15">
        <v>76611.06</v>
      </c>
      <c r="Y87" s="15">
        <v>0</v>
      </c>
      <c r="Z87" s="15">
        <v>410621.34</v>
      </c>
      <c r="AA87" s="15">
        <v>0</v>
      </c>
      <c r="AB87" s="15">
        <f t="shared" si="13"/>
        <v>487232.4</v>
      </c>
      <c r="AC87" s="15">
        <v>6644032.2000000002</v>
      </c>
      <c r="AD87" s="15">
        <v>24178658.109999999</v>
      </c>
      <c r="AE87" s="15">
        <v>160065099.90000001</v>
      </c>
      <c r="AF87" s="15">
        <f t="shared" si="14"/>
        <v>190887790.21000001</v>
      </c>
      <c r="AG87" s="15">
        <v>0</v>
      </c>
      <c r="AH87" s="15">
        <v>334162.74</v>
      </c>
      <c r="AI87" s="15">
        <v>4327126.97</v>
      </c>
      <c r="AJ87" s="16"/>
      <c r="AK87" s="15">
        <f t="shared" si="15"/>
        <v>10730013.460000001</v>
      </c>
      <c r="AL87" s="17">
        <f t="shared" si="16"/>
        <v>72659325.24000001</v>
      </c>
      <c r="AM87" s="22">
        <v>0</v>
      </c>
      <c r="AN87" s="19"/>
      <c r="AO87" s="15">
        <f t="shared" si="17"/>
        <v>278938418.62</v>
      </c>
      <c r="AP87" s="15">
        <f t="shared" si="18"/>
        <v>274611291.64999998</v>
      </c>
      <c r="AQ87" s="15">
        <f t="shared" si="19"/>
        <v>83389338.700000018</v>
      </c>
      <c r="AU87" s="33"/>
      <c r="AV87" s="33"/>
    </row>
    <row r="88" spans="2:48" s="20" customFormat="1" x14ac:dyDescent="0.25">
      <c r="B88" s="32">
        <v>41974</v>
      </c>
      <c r="C88" s="15">
        <v>6861251.1699999999</v>
      </c>
      <c r="D88" s="15">
        <v>0</v>
      </c>
      <c r="E88" s="15">
        <v>10417569.630000001</v>
      </c>
      <c r="F88" s="15">
        <v>201569.65</v>
      </c>
      <c r="G88" s="15">
        <f t="shared" si="10"/>
        <v>17480390.449999999</v>
      </c>
      <c r="H88" s="15">
        <v>3660547.31</v>
      </c>
      <c r="I88" s="15">
        <v>578147.21999999986</v>
      </c>
      <c r="J88" s="15">
        <v>571479.99</v>
      </c>
      <c r="K88" s="15">
        <f t="shared" si="11"/>
        <v>22290564.969999995</v>
      </c>
      <c r="L88" s="15">
        <v>0</v>
      </c>
      <c r="M88" s="15">
        <v>0</v>
      </c>
      <c r="N88" s="15">
        <v>107992161.78</v>
      </c>
      <c r="O88" s="15">
        <v>12201120.58</v>
      </c>
      <c r="P88" s="15">
        <v>596495.35</v>
      </c>
      <c r="Q88" s="15">
        <v>2348217.1</v>
      </c>
      <c r="R88" s="15">
        <v>1173420.05</v>
      </c>
      <c r="S88" s="15">
        <v>1077671.21</v>
      </c>
      <c r="T88" s="15">
        <v>0</v>
      </c>
      <c r="U88" s="15">
        <v>109507.76</v>
      </c>
      <c r="V88" s="15">
        <v>0</v>
      </c>
      <c r="W88" s="15">
        <f t="shared" si="12"/>
        <v>125498593.82999998</v>
      </c>
      <c r="X88" s="15">
        <v>0</v>
      </c>
      <c r="Y88" s="15">
        <v>0</v>
      </c>
      <c r="Z88" s="15">
        <v>906836.89</v>
      </c>
      <c r="AA88" s="15">
        <v>0</v>
      </c>
      <c r="AB88" s="15">
        <f t="shared" si="13"/>
        <v>906836.89</v>
      </c>
      <c r="AC88" s="15">
        <v>1706051.69</v>
      </c>
      <c r="AD88" s="15">
        <v>48357317.030000001</v>
      </c>
      <c r="AE88" s="15">
        <v>87893623.319999993</v>
      </c>
      <c r="AF88" s="15">
        <f t="shared" si="14"/>
        <v>137956992.03999999</v>
      </c>
      <c r="AG88" s="15">
        <v>0</v>
      </c>
      <c r="AH88" s="15">
        <v>231569.74</v>
      </c>
      <c r="AI88" s="15">
        <v>1600000</v>
      </c>
      <c r="AJ88" s="16"/>
      <c r="AK88" s="15">
        <f t="shared" si="15"/>
        <v>22290564.969999995</v>
      </c>
      <c r="AL88" s="17">
        <f t="shared" si="16"/>
        <v>126405430.71999998</v>
      </c>
      <c r="AM88" s="22">
        <v>44059257.390000001</v>
      </c>
      <c r="AN88" s="19"/>
      <c r="AO88" s="15">
        <f t="shared" si="17"/>
        <v>332543814.85999995</v>
      </c>
      <c r="AP88" s="15">
        <f t="shared" si="18"/>
        <v>286884557.46999997</v>
      </c>
      <c r="AQ88" s="15">
        <f t="shared" si="19"/>
        <v>148695995.68999997</v>
      </c>
      <c r="AU88" s="33"/>
      <c r="AV88" s="33"/>
    </row>
    <row r="89" spans="2:48" s="20" customFormat="1" x14ac:dyDescent="0.25">
      <c r="B89" s="14">
        <v>42005</v>
      </c>
      <c r="C89" s="15">
        <v>80666354.450000003</v>
      </c>
      <c r="D89" s="15">
        <v>0</v>
      </c>
      <c r="E89" s="15">
        <v>4563407.5</v>
      </c>
      <c r="F89" s="15">
        <v>1230306.47</v>
      </c>
      <c r="G89" s="15">
        <f t="shared" si="10"/>
        <v>86460068.420000002</v>
      </c>
      <c r="H89" s="15">
        <v>4144988.66</v>
      </c>
      <c r="I89" s="15">
        <v>170057.03</v>
      </c>
      <c r="J89" s="15">
        <v>4468467.46</v>
      </c>
      <c r="K89" s="15">
        <f t="shared" si="11"/>
        <v>95243581.569999993</v>
      </c>
      <c r="L89" s="15">
        <v>0</v>
      </c>
      <c r="M89" s="15">
        <v>0</v>
      </c>
      <c r="N89" s="15">
        <v>8978381.5999999996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f t="shared" si="12"/>
        <v>8978381.5999999996</v>
      </c>
      <c r="X89" s="15">
        <v>0</v>
      </c>
      <c r="Y89" s="15">
        <v>0</v>
      </c>
      <c r="Z89" s="15">
        <v>0</v>
      </c>
      <c r="AA89" s="15">
        <v>0</v>
      </c>
      <c r="AB89" s="15">
        <f t="shared" si="13"/>
        <v>0</v>
      </c>
      <c r="AC89" s="15">
        <v>0</v>
      </c>
      <c r="AD89" s="15">
        <v>0</v>
      </c>
      <c r="AE89" s="15">
        <v>0</v>
      </c>
      <c r="AF89" s="15">
        <f t="shared" si="14"/>
        <v>0</v>
      </c>
      <c r="AG89" s="15">
        <v>0</v>
      </c>
      <c r="AH89" s="15">
        <v>215705.25</v>
      </c>
      <c r="AI89" s="15">
        <v>0</v>
      </c>
      <c r="AJ89" s="16"/>
      <c r="AK89" s="15">
        <f t="shared" si="15"/>
        <v>95243581.569999993</v>
      </c>
      <c r="AL89" s="17">
        <f t="shared" si="16"/>
        <v>8978381.5999999996</v>
      </c>
      <c r="AM89" s="22">
        <v>-1630668.94</v>
      </c>
      <c r="AN89" s="19"/>
      <c r="AO89" s="15">
        <f t="shared" si="17"/>
        <v>102806999.47999999</v>
      </c>
      <c r="AP89" s="15">
        <f t="shared" si="18"/>
        <v>104437668.41999999</v>
      </c>
      <c r="AQ89" s="15">
        <f t="shared" si="19"/>
        <v>104221963.16999999</v>
      </c>
      <c r="AU89" s="33"/>
      <c r="AV89" s="33"/>
    </row>
    <row r="90" spans="2:48" s="20" customFormat="1" x14ac:dyDescent="0.25">
      <c r="B90" s="21">
        <v>42036</v>
      </c>
      <c r="C90" s="15">
        <v>10435005.91</v>
      </c>
      <c r="D90" s="15">
        <v>0</v>
      </c>
      <c r="E90" s="15">
        <v>3864746.17</v>
      </c>
      <c r="F90" s="15">
        <v>632122.36</v>
      </c>
      <c r="G90" s="15">
        <f t="shared" si="10"/>
        <v>14931874.439999999</v>
      </c>
      <c r="H90" s="15">
        <v>4649527.4000000004</v>
      </c>
      <c r="I90" s="15">
        <v>186980.9</v>
      </c>
      <c r="J90" s="15">
        <v>380549.49</v>
      </c>
      <c r="K90" s="15">
        <f t="shared" si="11"/>
        <v>20148932.229999997</v>
      </c>
      <c r="L90" s="15">
        <v>0</v>
      </c>
      <c r="M90" s="15">
        <v>0</v>
      </c>
      <c r="N90" s="15">
        <v>56819468.82</v>
      </c>
      <c r="O90" s="15">
        <v>7391427.3300000001</v>
      </c>
      <c r="P90" s="15">
        <v>507434.92</v>
      </c>
      <c r="Q90" s="15">
        <v>1207108.04</v>
      </c>
      <c r="R90" s="15">
        <v>0</v>
      </c>
      <c r="S90" s="15">
        <v>426838.94</v>
      </c>
      <c r="T90" s="15">
        <v>0</v>
      </c>
      <c r="U90" s="15">
        <v>104673.22</v>
      </c>
      <c r="V90" s="15">
        <v>0</v>
      </c>
      <c r="W90" s="15">
        <f t="shared" si="12"/>
        <v>66456951.269999996</v>
      </c>
      <c r="X90" s="15">
        <v>0</v>
      </c>
      <c r="Y90" s="15">
        <v>0</v>
      </c>
      <c r="Z90" s="15">
        <v>323666.87</v>
      </c>
      <c r="AA90" s="15">
        <v>0</v>
      </c>
      <c r="AB90" s="15">
        <f t="shared" si="13"/>
        <v>323666.87</v>
      </c>
      <c r="AC90" s="15">
        <v>6723503.3700000001</v>
      </c>
      <c r="AD90" s="15">
        <v>24447585.170000002</v>
      </c>
      <c r="AE90" s="15">
        <v>0</v>
      </c>
      <c r="AF90" s="15">
        <f t="shared" si="14"/>
        <v>31171088.540000003</v>
      </c>
      <c r="AG90" s="15">
        <v>0</v>
      </c>
      <c r="AH90" s="15">
        <v>110339.04000000001</v>
      </c>
      <c r="AI90" s="15">
        <v>0</v>
      </c>
      <c r="AJ90" s="16"/>
      <c r="AK90" s="15">
        <f t="shared" si="15"/>
        <v>20148932.229999997</v>
      </c>
      <c r="AL90" s="17">
        <f t="shared" si="16"/>
        <v>66780618.139999993</v>
      </c>
      <c r="AM90" s="22">
        <v>1302081.8999999999</v>
      </c>
      <c r="AN90" s="19"/>
      <c r="AO90" s="15">
        <f t="shared" si="17"/>
        <v>119513059.84999999</v>
      </c>
      <c r="AP90" s="15">
        <f t="shared" si="18"/>
        <v>118210977.94999999</v>
      </c>
      <c r="AQ90" s="15">
        <f t="shared" si="19"/>
        <v>86929550.36999999</v>
      </c>
      <c r="AU90" s="33"/>
      <c r="AV90" s="33"/>
    </row>
    <row r="91" spans="2:48" s="20" customFormat="1" x14ac:dyDescent="0.25">
      <c r="B91" s="23">
        <v>42064</v>
      </c>
      <c r="C91" s="15">
        <v>8513759.4100000001</v>
      </c>
      <c r="D91" s="15">
        <v>0</v>
      </c>
      <c r="E91" s="15">
        <v>6162804.7199999997</v>
      </c>
      <c r="F91" s="15">
        <v>886889.97</v>
      </c>
      <c r="G91" s="15">
        <f t="shared" si="10"/>
        <v>15563454.1</v>
      </c>
      <c r="H91" s="15">
        <v>4749645.58</v>
      </c>
      <c r="I91" s="15">
        <v>864377.1</v>
      </c>
      <c r="J91" s="15">
        <v>517069.76</v>
      </c>
      <c r="K91" s="15">
        <f t="shared" si="11"/>
        <v>21694546.540000003</v>
      </c>
      <c r="L91" s="15">
        <v>0</v>
      </c>
      <c r="M91" s="15">
        <v>0</v>
      </c>
      <c r="N91" s="15">
        <v>135615259.97</v>
      </c>
      <c r="O91" s="15">
        <v>15307604.76</v>
      </c>
      <c r="P91" s="15">
        <v>600141.06000000006</v>
      </c>
      <c r="Q91" s="15">
        <v>1063861.53</v>
      </c>
      <c r="R91" s="15">
        <v>1779079.94</v>
      </c>
      <c r="S91" s="15">
        <v>981894.25</v>
      </c>
      <c r="T91" s="15">
        <v>0</v>
      </c>
      <c r="U91" s="15">
        <v>292769.88</v>
      </c>
      <c r="V91" s="15">
        <v>0</v>
      </c>
      <c r="W91" s="15">
        <f t="shared" si="12"/>
        <v>155640611.38999999</v>
      </c>
      <c r="X91" s="15">
        <v>0</v>
      </c>
      <c r="Y91" s="15">
        <v>0</v>
      </c>
      <c r="Z91" s="15">
        <v>1134177.1200000001</v>
      </c>
      <c r="AA91" s="15">
        <v>0</v>
      </c>
      <c r="AB91" s="15">
        <f t="shared" si="13"/>
        <v>1134177.1200000001</v>
      </c>
      <c r="AC91" s="15">
        <v>10273476.35</v>
      </c>
      <c r="AD91" s="15">
        <v>24447585.170000002</v>
      </c>
      <c r="AE91" s="15">
        <v>600000</v>
      </c>
      <c r="AF91" s="15">
        <f t="shared" si="14"/>
        <v>35321061.520000003</v>
      </c>
      <c r="AG91" s="15">
        <v>0</v>
      </c>
      <c r="AH91" s="15">
        <v>163842.64000000001</v>
      </c>
      <c r="AI91" s="15">
        <v>0</v>
      </c>
      <c r="AJ91" s="16"/>
      <c r="AK91" s="15">
        <f t="shared" si="15"/>
        <v>21694546.540000003</v>
      </c>
      <c r="AL91" s="17">
        <f t="shared" si="16"/>
        <v>156774788.50999999</v>
      </c>
      <c r="AM91" s="22">
        <v>3916.32</v>
      </c>
      <c r="AN91" s="19"/>
      <c r="AO91" s="15">
        <f t="shared" si="17"/>
        <v>213958155.52999997</v>
      </c>
      <c r="AP91" s="15">
        <f t="shared" si="18"/>
        <v>213954239.20999998</v>
      </c>
      <c r="AQ91" s="15">
        <f t="shared" si="19"/>
        <v>178469335.04999998</v>
      </c>
      <c r="AU91" s="33"/>
      <c r="AV91" s="33"/>
    </row>
    <row r="92" spans="2:48" s="20" customFormat="1" x14ac:dyDescent="0.25">
      <c r="B92" s="24">
        <v>42095</v>
      </c>
      <c r="C92" s="15">
        <v>3076070.52</v>
      </c>
      <c r="D92" s="15">
        <v>27963379</v>
      </c>
      <c r="E92" s="15">
        <v>5005107.29</v>
      </c>
      <c r="F92" s="15">
        <v>858474.84</v>
      </c>
      <c r="G92" s="15">
        <f t="shared" si="10"/>
        <v>36903031.650000006</v>
      </c>
      <c r="H92" s="15">
        <v>2736666.28</v>
      </c>
      <c r="I92" s="15">
        <v>454561.46000000089</v>
      </c>
      <c r="J92" s="15">
        <v>406751.93</v>
      </c>
      <c r="K92" s="15">
        <f t="shared" si="11"/>
        <v>40501011.320000008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f t="shared" si="12"/>
        <v>0</v>
      </c>
      <c r="X92" s="15">
        <v>0</v>
      </c>
      <c r="Y92" s="15">
        <v>0</v>
      </c>
      <c r="Z92" s="15">
        <v>0</v>
      </c>
      <c r="AA92" s="15">
        <v>0</v>
      </c>
      <c r="AB92" s="15">
        <f t="shared" si="13"/>
        <v>0</v>
      </c>
      <c r="AC92" s="15">
        <v>8498489.8599999994</v>
      </c>
      <c r="AD92" s="15">
        <v>24447585.170000002</v>
      </c>
      <c r="AE92" s="15">
        <v>0</v>
      </c>
      <c r="AF92" s="15">
        <f t="shared" si="14"/>
        <v>32946075.030000001</v>
      </c>
      <c r="AG92" s="15">
        <v>0</v>
      </c>
      <c r="AH92" s="15">
        <v>208699.49</v>
      </c>
      <c r="AI92" s="15">
        <v>0</v>
      </c>
      <c r="AJ92" s="16"/>
      <c r="AK92" s="15">
        <f t="shared" si="15"/>
        <v>40501011.320000008</v>
      </c>
      <c r="AL92" s="17">
        <f t="shared" si="16"/>
        <v>0</v>
      </c>
      <c r="AM92" s="22">
        <v>-2651.33</v>
      </c>
      <c r="AN92" s="19"/>
      <c r="AO92" s="15">
        <f t="shared" si="17"/>
        <v>73653134.510000005</v>
      </c>
      <c r="AP92" s="15">
        <f t="shared" si="18"/>
        <v>73655785.840000004</v>
      </c>
      <c r="AQ92" s="15">
        <f t="shared" si="19"/>
        <v>40501011.320000008</v>
      </c>
      <c r="AU92" s="33"/>
      <c r="AV92" s="33"/>
    </row>
    <row r="93" spans="2:48" s="20" customFormat="1" x14ac:dyDescent="0.25">
      <c r="B93" s="25">
        <v>42125</v>
      </c>
      <c r="C93" s="15">
        <v>2473066.12</v>
      </c>
      <c r="D93" s="15">
        <v>97078</v>
      </c>
      <c r="E93" s="15">
        <v>4712180.6399999997</v>
      </c>
      <c r="F93" s="15">
        <v>57125.85</v>
      </c>
      <c r="G93" s="15">
        <f t="shared" si="10"/>
        <v>7339450.6099999994</v>
      </c>
      <c r="H93" s="15">
        <v>4056859.08</v>
      </c>
      <c r="I93" s="15">
        <v>167777.41999999998</v>
      </c>
      <c r="J93" s="15">
        <v>463820.74</v>
      </c>
      <c r="K93" s="15">
        <f t="shared" si="11"/>
        <v>12027907.85</v>
      </c>
      <c r="L93" s="15">
        <v>0</v>
      </c>
      <c r="M93" s="15">
        <v>0</v>
      </c>
      <c r="N93" s="15">
        <v>82412377.640000001</v>
      </c>
      <c r="O93" s="15">
        <v>10018065.689999999</v>
      </c>
      <c r="P93" s="15">
        <v>1156280</v>
      </c>
      <c r="Q93" s="15">
        <v>835627.16</v>
      </c>
      <c r="R93" s="15">
        <v>554412</v>
      </c>
      <c r="S93" s="15">
        <v>0</v>
      </c>
      <c r="T93" s="15">
        <v>428938.53</v>
      </c>
      <c r="U93" s="15">
        <v>186084.99</v>
      </c>
      <c r="V93" s="15">
        <v>0</v>
      </c>
      <c r="W93" s="15">
        <f t="shared" si="12"/>
        <v>95591786.00999999</v>
      </c>
      <c r="X93" s="15">
        <v>0</v>
      </c>
      <c r="Y93" s="15">
        <v>0</v>
      </c>
      <c r="Z93" s="15">
        <v>335620.29</v>
      </c>
      <c r="AA93" s="15">
        <v>0</v>
      </c>
      <c r="AB93" s="15">
        <f t="shared" si="13"/>
        <v>335620.29</v>
      </c>
      <c r="AC93" s="15">
        <v>8498489.8599999994</v>
      </c>
      <c r="AD93" s="15">
        <v>24447585.170000002</v>
      </c>
      <c r="AE93" s="15">
        <v>0</v>
      </c>
      <c r="AF93" s="15">
        <f t="shared" si="14"/>
        <v>32946075.030000001</v>
      </c>
      <c r="AG93" s="15">
        <v>0</v>
      </c>
      <c r="AH93" s="15">
        <v>20221.96</v>
      </c>
      <c r="AI93" s="15">
        <v>0</v>
      </c>
      <c r="AJ93" s="16"/>
      <c r="AK93" s="15">
        <f t="shared" si="15"/>
        <v>12027907.85</v>
      </c>
      <c r="AL93" s="17">
        <f t="shared" si="16"/>
        <v>95927406.299999997</v>
      </c>
      <c r="AM93" s="22">
        <v>-356</v>
      </c>
      <c r="AN93" s="19"/>
      <c r="AO93" s="15">
        <f t="shared" si="17"/>
        <v>140921255.13999999</v>
      </c>
      <c r="AP93" s="15">
        <f t="shared" si="18"/>
        <v>140921611.13999999</v>
      </c>
      <c r="AQ93" s="15">
        <f t="shared" si="19"/>
        <v>107955314.14999999</v>
      </c>
      <c r="AU93" s="33"/>
    </row>
    <row r="94" spans="2:48" s="20" customFormat="1" x14ac:dyDescent="0.25">
      <c r="B94" s="26">
        <v>42156</v>
      </c>
      <c r="C94" s="15">
        <v>3024323.28</v>
      </c>
      <c r="D94" s="15">
        <v>0</v>
      </c>
      <c r="E94" s="15">
        <v>5812491.5700000003</v>
      </c>
      <c r="F94" s="15">
        <v>292660.13</v>
      </c>
      <c r="G94" s="15">
        <f t="shared" si="10"/>
        <v>9129474.9800000004</v>
      </c>
      <c r="H94" s="15">
        <v>3502000.15</v>
      </c>
      <c r="I94" s="15">
        <v>926711.63</v>
      </c>
      <c r="J94" s="15">
        <v>228066.37</v>
      </c>
      <c r="K94" s="15">
        <f t="shared" si="11"/>
        <v>13786253.130000001</v>
      </c>
      <c r="L94" s="15">
        <v>0</v>
      </c>
      <c r="M94" s="15">
        <v>0</v>
      </c>
      <c r="N94" s="15">
        <v>67370461.920000002</v>
      </c>
      <c r="O94" s="15">
        <v>7358011.4699999997</v>
      </c>
      <c r="P94" s="15">
        <v>-349534.6</v>
      </c>
      <c r="Q94" s="15">
        <v>1864160.22</v>
      </c>
      <c r="R94" s="15">
        <v>573941.27</v>
      </c>
      <c r="S94" s="15">
        <v>939689.39</v>
      </c>
      <c r="T94" s="15">
        <v>-428938.53</v>
      </c>
      <c r="U94" s="15">
        <v>172860.09</v>
      </c>
      <c r="V94" s="15">
        <v>0</v>
      </c>
      <c r="W94" s="15">
        <f t="shared" si="12"/>
        <v>77500651.230000004</v>
      </c>
      <c r="X94" s="15">
        <v>0</v>
      </c>
      <c r="Y94" s="15">
        <v>0</v>
      </c>
      <c r="Z94" s="15">
        <v>553711.61</v>
      </c>
      <c r="AA94" s="15">
        <v>0</v>
      </c>
      <c r="AB94" s="15">
        <f t="shared" si="13"/>
        <v>553711.61</v>
      </c>
      <c r="AC94" s="15">
        <v>6723503.3700000001</v>
      </c>
      <c r="AD94" s="15">
        <v>24447585.170000002</v>
      </c>
      <c r="AE94" s="15">
        <v>107655879.73999999</v>
      </c>
      <c r="AF94" s="15">
        <f t="shared" si="14"/>
        <v>138826968.28</v>
      </c>
      <c r="AG94" s="15">
        <v>0</v>
      </c>
      <c r="AH94" s="15">
        <v>223970.97999999998</v>
      </c>
      <c r="AI94" s="15">
        <v>0</v>
      </c>
      <c r="AJ94" s="16"/>
      <c r="AK94" s="15">
        <f t="shared" si="15"/>
        <v>13786253.130000001</v>
      </c>
      <c r="AL94" s="17">
        <f t="shared" si="16"/>
        <v>78054362.840000004</v>
      </c>
      <c r="AM94" s="22">
        <v>-18133.86</v>
      </c>
      <c r="AN94" s="19"/>
      <c r="AO94" s="15">
        <f t="shared" si="17"/>
        <v>230873421.36999997</v>
      </c>
      <c r="AP94" s="15">
        <f t="shared" si="18"/>
        <v>230891555.22999999</v>
      </c>
      <c r="AQ94" s="15">
        <f t="shared" si="19"/>
        <v>91840615.969999999</v>
      </c>
      <c r="AU94" s="33"/>
      <c r="AV94" s="33"/>
    </row>
    <row r="95" spans="2:48" s="20" customFormat="1" x14ac:dyDescent="0.25">
      <c r="B95" s="27">
        <v>42186</v>
      </c>
      <c r="C95" s="15">
        <v>2163282.9</v>
      </c>
      <c r="D95" s="15">
        <v>0</v>
      </c>
      <c r="E95" s="15">
        <v>6773292.3300000001</v>
      </c>
      <c r="F95" s="15">
        <v>416693.63999999996</v>
      </c>
      <c r="G95" s="15">
        <f t="shared" si="10"/>
        <v>9353268.870000001</v>
      </c>
      <c r="H95" s="15">
        <v>3749214.68</v>
      </c>
      <c r="I95" s="15">
        <v>566121.54</v>
      </c>
      <c r="J95" s="15">
        <v>3508650.16</v>
      </c>
      <c r="K95" s="15">
        <f t="shared" si="11"/>
        <v>17177255.25</v>
      </c>
      <c r="L95" s="15">
        <v>0</v>
      </c>
      <c r="M95" s="15">
        <v>0</v>
      </c>
      <c r="N95" s="15">
        <v>52992411.060000002</v>
      </c>
      <c r="O95" s="15">
        <v>4597772.8099999996</v>
      </c>
      <c r="P95" s="15">
        <v>277601.78000000003</v>
      </c>
      <c r="Q95" s="15">
        <v>932865.26</v>
      </c>
      <c r="R95" s="15">
        <v>661402.38</v>
      </c>
      <c r="S95" s="15">
        <v>491574.41</v>
      </c>
      <c r="T95" s="15">
        <v>0</v>
      </c>
      <c r="U95" s="15">
        <v>271690.55</v>
      </c>
      <c r="V95" s="15">
        <v>0</v>
      </c>
      <c r="W95" s="15">
        <f t="shared" si="12"/>
        <v>60225318.25</v>
      </c>
      <c r="X95" s="15">
        <v>0</v>
      </c>
      <c r="Y95" s="15">
        <v>0</v>
      </c>
      <c r="Z95" s="15">
        <v>387929.25</v>
      </c>
      <c r="AA95" s="15">
        <v>0</v>
      </c>
      <c r="AB95" s="15">
        <f t="shared" si="13"/>
        <v>387929.25</v>
      </c>
      <c r="AC95" s="15">
        <v>6723503.3700000001</v>
      </c>
      <c r="AD95" s="15">
        <v>24447585.170000002</v>
      </c>
      <c r="AE95" s="15">
        <v>0</v>
      </c>
      <c r="AF95" s="15">
        <f t="shared" si="14"/>
        <v>31171088.540000003</v>
      </c>
      <c r="AG95" s="15">
        <v>0</v>
      </c>
      <c r="AH95" s="15">
        <v>240185.62</v>
      </c>
      <c r="AI95" s="15">
        <v>0</v>
      </c>
      <c r="AJ95" s="16"/>
      <c r="AK95" s="15">
        <f t="shared" si="15"/>
        <v>17177255.25</v>
      </c>
      <c r="AL95" s="17">
        <f t="shared" si="16"/>
        <v>60613247.5</v>
      </c>
      <c r="AM95" s="22">
        <v>-2.99</v>
      </c>
      <c r="AN95" s="19"/>
      <c r="AO95" s="15">
        <f t="shared" si="17"/>
        <v>109201773.92</v>
      </c>
      <c r="AP95" s="15">
        <f t="shared" si="18"/>
        <v>109201776.91</v>
      </c>
      <c r="AQ95" s="15">
        <f t="shared" si="19"/>
        <v>77790502.75</v>
      </c>
      <c r="AU95" s="33"/>
      <c r="AV95" s="33"/>
    </row>
    <row r="96" spans="2:48" s="20" customFormat="1" x14ac:dyDescent="0.25">
      <c r="B96" s="28">
        <v>42217</v>
      </c>
      <c r="C96" s="15">
        <v>2031907.46</v>
      </c>
      <c r="D96" s="15">
        <v>0</v>
      </c>
      <c r="E96" s="15">
        <v>5604208.4699999997</v>
      </c>
      <c r="F96" s="15">
        <v>142339.51</v>
      </c>
      <c r="G96" s="15">
        <f t="shared" si="10"/>
        <v>7778455.4399999995</v>
      </c>
      <c r="H96" s="15">
        <v>3232305.88</v>
      </c>
      <c r="I96" s="15">
        <v>1051220.8899999999</v>
      </c>
      <c r="J96" s="15">
        <v>420551.08</v>
      </c>
      <c r="K96" s="15">
        <f t="shared" si="11"/>
        <v>12482533.290000001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f t="shared" si="12"/>
        <v>0</v>
      </c>
      <c r="X96" s="15">
        <v>0</v>
      </c>
      <c r="Y96" s="15">
        <v>0</v>
      </c>
      <c r="Z96" s="15">
        <v>0</v>
      </c>
      <c r="AA96" s="15">
        <v>0</v>
      </c>
      <c r="AB96" s="15">
        <f t="shared" si="13"/>
        <v>0</v>
      </c>
      <c r="AC96" s="15">
        <v>6723503.3700000001</v>
      </c>
      <c r="AD96" s="15">
        <v>24447585.170000002</v>
      </c>
      <c r="AE96" s="15">
        <v>99944893.340000004</v>
      </c>
      <c r="AF96" s="15">
        <f t="shared" si="14"/>
        <v>131115981.88000001</v>
      </c>
      <c r="AG96" s="15">
        <v>0</v>
      </c>
      <c r="AH96" s="15">
        <v>263231.33999999997</v>
      </c>
      <c r="AI96" s="15">
        <f>1085431.97</f>
        <v>1085431.97</v>
      </c>
      <c r="AJ96" s="16"/>
      <c r="AK96" s="15">
        <f t="shared" si="15"/>
        <v>12482533.290000001</v>
      </c>
      <c r="AL96" s="17">
        <f t="shared" si="16"/>
        <v>0</v>
      </c>
      <c r="AM96" s="22">
        <v>-27395.88</v>
      </c>
      <c r="AN96" s="19"/>
      <c r="AO96" s="15">
        <f t="shared" si="17"/>
        <v>144919782.60000002</v>
      </c>
      <c r="AP96" s="15">
        <f t="shared" si="18"/>
        <v>143861746.51000002</v>
      </c>
      <c r="AQ96" s="15">
        <f t="shared" si="19"/>
        <v>12482533.290000001</v>
      </c>
      <c r="AU96" s="33"/>
      <c r="AV96" s="33"/>
    </row>
    <row r="97" spans="2:48" s="20" customFormat="1" x14ac:dyDescent="0.25">
      <c r="B97" s="29">
        <v>42248</v>
      </c>
      <c r="C97" s="15">
        <v>2578309.2999999998</v>
      </c>
      <c r="D97" s="15">
        <v>0</v>
      </c>
      <c r="E97" s="15">
        <v>6267320.9199999999</v>
      </c>
      <c r="F97" s="15">
        <v>56899.77</v>
      </c>
      <c r="G97" s="15">
        <f t="shared" si="10"/>
        <v>8902529.9899999984</v>
      </c>
      <c r="H97" s="15">
        <v>7534040.0899999999</v>
      </c>
      <c r="I97" s="15">
        <v>1580815.91</v>
      </c>
      <c r="J97" s="15">
        <v>30500483.07</v>
      </c>
      <c r="K97" s="15">
        <f t="shared" si="11"/>
        <v>48517869.060000002</v>
      </c>
      <c r="L97" s="15">
        <v>0</v>
      </c>
      <c r="M97" s="15">
        <v>0</v>
      </c>
      <c r="N97" s="15">
        <v>134931107.12</v>
      </c>
      <c r="O97" s="15">
        <v>13601964.619999999</v>
      </c>
      <c r="P97" s="15">
        <v>431287.25</v>
      </c>
      <c r="Q97" s="15">
        <v>1873507.75</v>
      </c>
      <c r="R97" s="15">
        <v>2248531.0299999998</v>
      </c>
      <c r="S97" s="15">
        <v>959294.62</v>
      </c>
      <c r="T97" s="15">
        <v>0</v>
      </c>
      <c r="U97" s="15">
        <v>197683.67</v>
      </c>
      <c r="V97" s="15">
        <v>0</v>
      </c>
      <c r="W97" s="15">
        <f t="shared" si="12"/>
        <v>154243376.06</v>
      </c>
      <c r="X97" s="15">
        <v>16385.830000000002</v>
      </c>
      <c r="Y97" s="15">
        <v>0</v>
      </c>
      <c r="Z97" s="15">
        <v>879579.54</v>
      </c>
      <c r="AA97" s="15">
        <v>0</v>
      </c>
      <c r="AB97" s="15">
        <f t="shared" si="13"/>
        <v>895965.37</v>
      </c>
      <c r="AC97" s="15">
        <v>13823449.33</v>
      </c>
      <c r="AD97" s="15">
        <v>48895170.340000004</v>
      </c>
      <c r="AE97" s="15">
        <v>68753397.900000006</v>
      </c>
      <c r="AF97" s="15">
        <f t="shared" si="14"/>
        <v>131472017.57000001</v>
      </c>
      <c r="AG97" s="15">
        <v>0</v>
      </c>
      <c r="AH97" s="15">
        <v>135216.10999999999</v>
      </c>
      <c r="AI97" s="15">
        <f>185284.59</f>
        <v>185284.59</v>
      </c>
      <c r="AJ97" s="16"/>
      <c r="AK97" s="15">
        <f t="shared" si="15"/>
        <v>48517869.060000002</v>
      </c>
      <c r="AL97" s="17">
        <f t="shared" si="16"/>
        <v>155139341.43000001</v>
      </c>
      <c r="AM97" s="22">
        <v>0</v>
      </c>
      <c r="AN97" s="19"/>
      <c r="AO97" s="15">
        <f t="shared" si="17"/>
        <v>335449728.75999999</v>
      </c>
      <c r="AP97" s="15">
        <f t="shared" si="18"/>
        <v>335264444.17000002</v>
      </c>
      <c r="AQ97" s="15">
        <f t="shared" si="19"/>
        <v>203657210.49000001</v>
      </c>
      <c r="AU97" s="33"/>
      <c r="AV97" s="33"/>
    </row>
    <row r="98" spans="2:48" s="20" customFormat="1" x14ac:dyDescent="0.25">
      <c r="B98" s="30">
        <v>42278</v>
      </c>
      <c r="C98" s="15">
        <v>1869344.88</v>
      </c>
      <c r="D98" s="15">
        <v>0</v>
      </c>
      <c r="E98" s="15">
        <v>4829137.17</v>
      </c>
      <c r="F98" s="15">
        <v>233272.31</v>
      </c>
      <c r="G98" s="15">
        <f t="shared" si="10"/>
        <v>6931754.3599999994</v>
      </c>
      <c r="H98" s="15">
        <v>2934758.25</v>
      </c>
      <c r="I98" s="15">
        <v>252303.88</v>
      </c>
      <c r="J98" s="15">
        <v>1171576.81</v>
      </c>
      <c r="K98" s="15">
        <f t="shared" si="11"/>
        <v>11290393.300000001</v>
      </c>
      <c r="L98" s="15">
        <v>0</v>
      </c>
      <c r="M98" s="15">
        <v>0</v>
      </c>
      <c r="N98" s="15">
        <v>65506702.299999997</v>
      </c>
      <c r="O98" s="15">
        <v>6599052.3399999999</v>
      </c>
      <c r="P98" s="15">
        <v>258668.94</v>
      </c>
      <c r="Q98" s="15">
        <v>989022.9</v>
      </c>
      <c r="R98" s="15">
        <v>957394.04</v>
      </c>
      <c r="S98" s="15">
        <v>486204.95</v>
      </c>
      <c r="T98" s="15">
        <v>0</v>
      </c>
      <c r="U98" s="15">
        <v>263382.5</v>
      </c>
      <c r="V98" s="15">
        <v>0</v>
      </c>
      <c r="W98" s="15">
        <f t="shared" si="12"/>
        <v>75060427.970000014</v>
      </c>
      <c r="X98" s="15">
        <v>0</v>
      </c>
      <c r="Y98" s="15">
        <v>0</v>
      </c>
      <c r="Z98" s="15">
        <v>421511.39</v>
      </c>
      <c r="AA98" s="15">
        <v>0</v>
      </c>
      <c r="AB98" s="15">
        <f t="shared" si="13"/>
        <v>421511.39</v>
      </c>
      <c r="AC98" s="15">
        <v>8498489.8599999994</v>
      </c>
      <c r="AD98" s="15">
        <v>0</v>
      </c>
      <c r="AE98" s="15">
        <v>22216836.27</v>
      </c>
      <c r="AF98" s="15">
        <f t="shared" si="14"/>
        <v>30715326.129999999</v>
      </c>
      <c r="AG98" s="15">
        <v>0</v>
      </c>
      <c r="AH98" s="15">
        <v>31577.89</v>
      </c>
      <c r="AI98" s="15">
        <v>0</v>
      </c>
      <c r="AJ98" s="16"/>
      <c r="AK98" s="15">
        <f t="shared" si="15"/>
        <v>11290393.300000001</v>
      </c>
      <c r="AL98" s="17">
        <f t="shared" si="16"/>
        <v>75481939.360000014</v>
      </c>
      <c r="AM98" s="22">
        <v>-32640.35</v>
      </c>
      <c r="AN98" s="19"/>
      <c r="AO98" s="15">
        <f t="shared" si="17"/>
        <v>117486596.33000001</v>
      </c>
      <c r="AP98" s="15">
        <f t="shared" si="18"/>
        <v>117519236.68000001</v>
      </c>
      <c r="AQ98" s="15">
        <f t="shared" si="19"/>
        <v>86772332.660000011</v>
      </c>
      <c r="AU98" s="33"/>
      <c r="AV98" s="33"/>
    </row>
    <row r="99" spans="2:48" s="20" customFormat="1" x14ac:dyDescent="0.25">
      <c r="B99" s="31">
        <v>42309</v>
      </c>
      <c r="C99" s="15">
        <v>2270200.88</v>
      </c>
      <c r="D99" s="15">
        <v>0</v>
      </c>
      <c r="E99" s="15">
        <v>5919196.9100000001</v>
      </c>
      <c r="F99" s="15">
        <v>188945.59</v>
      </c>
      <c r="G99" s="15">
        <f t="shared" si="10"/>
        <v>8378343.3799999999</v>
      </c>
      <c r="H99" s="15">
        <v>7804097.8399999999</v>
      </c>
      <c r="I99" s="15">
        <v>442943.23</v>
      </c>
      <c r="J99" s="15">
        <v>1314201.97</v>
      </c>
      <c r="K99" s="15">
        <f t="shared" si="11"/>
        <v>17939586.419999998</v>
      </c>
      <c r="L99" s="15">
        <v>0</v>
      </c>
      <c r="M99" s="15">
        <v>0</v>
      </c>
      <c r="N99" s="15">
        <v>71317986.439999998</v>
      </c>
      <c r="O99" s="15">
        <v>5534236.1100000003</v>
      </c>
      <c r="P99" s="15">
        <v>308775.09000000003</v>
      </c>
      <c r="Q99" s="15">
        <v>927622.43</v>
      </c>
      <c r="R99" s="15">
        <v>0</v>
      </c>
      <c r="S99" s="15">
        <v>464183.07</v>
      </c>
      <c r="T99" s="15">
        <v>0</v>
      </c>
      <c r="U99" s="15">
        <v>77264.100000000006</v>
      </c>
      <c r="V99" s="15">
        <v>0</v>
      </c>
      <c r="W99" s="15">
        <f t="shared" si="12"/>
        <v>78630067.239999995</v>
      </c>
      <c r="X99" s="15">
        <v>0</v>
      </c>
      <c r="Y99" s="15">
        <v>0</v>
      </c>
      <c r="Z99" s="15">
        <v>408286.21</v>
      </c>
      <c r="AA99" s="15">
        <v>0</v>
      </c>
      <c r="AB99" s="15">
        <f t="shared" si="13"/>
        <v>408286.21</v>
      </c>
      <c r="AC99" s="15">
        <v>8498489.8599999994</v>
      </c>
      <c r="AD99" s="15">
        <v>24447585.170000002</v>
      </c>
      <c r="AE99" s="15">
        <v>13321859.16</v>
      </c>
      <c r="AF99" s="15">
        <f t="shared" si="14"/>
        <v>46267934.189999998</v>
      </c>
      <c r="AG99" s="15">
        <v>0</v>
      </c>
      <c r="AH99" s="15">
        <v>223581.34</v>
      </c>
      <c r="AI99" s="15">
        <v>1000000</v>
      </c>
      <c r="AJ99" s="16"/>
      <c r="AK99" s="15">
        <f t="shared" si="15"/>
        <v>17939586.419999998</v>
      </c>
      <c r="AL99" s="17">
        <f t="shared" si="16"/>
        <v>79038353.449999988</v>
      </c>
      <c r="AM99" s="22">
        <v>-1.1100000000000001</v>
      </c>
      <c r="AN99" s="19"/>
      <c r="AO99" s="15">
        <f t="shared" si="17"/>
        <v>144469454.28999996</v>
      </c>
      <c r="AP99" s="15">
        <f t="shared" si="18"/>
        <v>143469455.39999998</v>
      </c>
      <c r="AQ99" s="15">
        <f t="shared" si="19"/>
        <v>96977939.86999999</v>
      </c>
      <c r="AU99" s="33"/>
      <c r="AV99" s="33"/>
    </row>
    <row r="100" spans="2:48" s="20" customFormat="1" x14ac:dyDescent="0.25">
      <c r="B100" s="32">
        <v>42339</v>
      </c>
      <c r="C100" s="15">
        <v>5526448.5199999996</v>
      </c>
      <c r="D100" s="15">
        <v>0</v>
      </c>
      <c r="E100" s="15">
        <v>6820604.4100000001</v>
      </c>
      <c r="F100" s="15">
        <v>147712.29</v>
      </c>
      <c r="G100" s="15">
        <f t="shared" si="10"/>
        <v>12494765.219999999</v>
      </c>
      <c r="H100" s="15">
        <v>5426844.4400000004</v>
      </c>
      <c r="I100" s="15">
        <v>857011.28</v>
      </c>
      <c r="J100" s="15">
        <v>1147323.8700000001</v>
      </c>
      <c r="K100" s="15">
        <f t="shared" si="11"/>
        <v>19925944.810000002</v>
      </c>
      <c r="L100" s="15">
        <v>0</v>
      </c>
      <c r="M100" s="15">
        <v>0</v>
      </c>
      <c r="N100" s="15">
        <v>75379074.640000001</v>
      </c>
      <c r="O100" s="15">
        <v>0</v>
      </c>
      <c r="P100" s="15">
        <v>258668.94</v>
      </c>
      <c r="Q100" s="15">
        <v>925048.99</v>
      </c>
      <c r="R100" s="15">
        <v>0</v>
      </c>
      <c r="S100" s="15">
        <v>0</v>
      </c>
      <c r="T100" s="15">
        <v>0</v>
      </c>
      <c r="U100" s="15">
        <v>80716.95</v>
      </c>
      <c r="V100" s="15">
        <v>0</v>
      </c>
      <c r="W100" s="15">
        <f t="shared" si="12"/>
        <v>76643509.519999996</v>
      </c>
      <c r="X100" s="15">
        <v>0</v>
      </c>
      <c r="Y100" s="15">
        <v>0</v>
      </c>
      <c r="Z100" s="15">
        <v>482520.93</v>
      </c>
      <c r="AA100" s="15">
        <v>0</v>
      </c>
      <c r="AB100" s="15">
        <f t="shared" si="13"/>
        <v>482520.93</v>
      </c>
      <c r="AC100" s="15">
        <v>0</v>
      </c>
      <c r="AD100" s="15">
        <v>48895169.82</v>
      </c>
      <c r="AE100" s="15">
        <v>10636926.16</v>
      </c>
      <c r="AF100" s="15">
        <f t="shared" si="14"/>
        <v>59532095.980000004</v>
      </c>
      <c r="AG100" s="15">
        <v>0</v>
      </c>
      <c r="AH100" s="15">
        <v>206574.71</v>
      </c>
      <c r="AI100" s="15">
        <v>2208629</v>
      </c>
      <c r="AJ100" s="16"/>
      <c r="AK100" s="15">
        <f t="shared" si="15"/>
        <v>19925944.810000002</v>
      </c>
      <c r="AL100" s="17">
        <f t="shared" si="16"/>
        <v>77126030.450000003</v>
      </c>
      <c r="AM100" s="22">
        <v>-2559.96</v>
      </c>
      <c r="AN100" s="19"/>
      <c r="AO100" s="15">
        <f t="shared" si="17"/>
        <v>158996714.98999998</v>
      </c>
      <c r="AP100" s="15">
        <f t="shared" si="18"/>
        <v>156790645.94999999</v>
      </c>
      <c r="AQ100" s="15">
        <f t="shared" si="19"/>
        <v>97051975.260000005</v>
      </c>
      <c r="AU100" s="33"/>
      <c r="AV100" s="33"/>
    </row>
    <row r="101" spans="2:48" s="20" customFormat="1" x14ac:dyDescent="0.25">
      <c r="B101" s="14">
        <v>42370</v>
      </c>
      <c r="C101" s="15">
        <v>84788898.340000004</v>
      </c>
      <c r="D101" s="15">
        <v>0</v>
      </c>
      <c r="E101" s="15">
        <v>4634721.12</v>
      </c>
      <c r="F101" s="15">
        <v>1153675.6500000001</v>
      </c>
      <c r="G101" s="15">
        <f t="shared" si="10"/>
        <v>90577295.110000014</v>
      </c>
      <c r="H101" s="15">
        <v>5135394.74</v>
      </c>
      <c r="I101" s="15">
        <v>759959.22</v>
      </c>
      <c r="J101" s="15">
        <v>1254571.3500000001</v>
      </c>
      <c r="K101" s="15">
        <f t="shared" si="11"/>
        <v>97727220.420000002</v>
      </c>
      <c r="L101" s="15">
        <v>0</v>
      </c>
      <c r="M101" s="15">
        <v>0</v>
      </c>
      <c r="N101" s="15">
        <v>25657071.170000002</v>
      </c>
      <c r="O101" s="15">
        <v>11963064.210000001</v>
      </c>
      <c r="P101" s="15">
        <v>258668.94</v>
      </c>
      <c r="Q101" s="15">
        <v>988435.56</v>
      </c>
      <c r="R101" s="15">
        <v>2955994.37</v>
      </c>
      <c r="S101" s="15">
        <v>898364.43</v>
      </c>
      <c r="T101" s="15">
        <v>0</v>
      </c>
      <c r="U101" s="15">
        <v>85226.54</v>
      </c>
      <c r="V101" s="15">
        <v>0</v>
      </c>
      <c r="W101" s="15">
        <f t="shared" si="12"/>
        <v>42806825.219999999</v>
      </c>
      <c r="X101" s="15">
        <v>9976.6</v>
      </c>
      <c r="Y101" s="15">
        <v>0</v>
      </c>
      <c r="Z101" s="15">
        <v>468874.8</v>
      </c>
      <c r="AA101" s="15">
        <v>0</v>
      </c>
      <c r="AB101" s="15">
        <f t="shared" si="13"/>
        <v>478851.39999999997</v>
      </c>
      <c r="AC101" s="15">
        <v>0</v>
      </c>
      <c r="AD101" s="15">
        <v>0</v>
      </c>
      <c r="AE101" s="15">
        <v>0</v>
      </c>
      <c r="AF101" s="15">
        <f t="shared" si="14"/>
        <v>0</v>
      </c>
      <c r="AG101" s="15">
        <v>0</v>
      </c>
      <c r="AH101" s="15">
        <v>86044.209999999992</v>
      </c>
      <c r="AI101" s="15">
        <v>0</v>
      </c>
      <c r="AJ101" s="16"/>
      <c r="AK101" s="15">
        <f t="shared" si="15"/>
        <v>97727220.420000002</v>
      </c>
      <c r="AL101" s="17">
        <f t="shared" si="16"/>
        <v>43285676.619999997</v>
      </c>
      <c r="AM101" s="22">
        <v>-19992.02</v>
      </c>
      <c r="AN101" s="19"/>
      <c r="AO101" s="15">
        <f t="shared" si="17"/>
        <v>141078949.22999999</v>
      </c>
      <c r="AP101" s="15">
        <f t="shared" si="18"/>
        <v>141098941.25</v>
      </c>
      <c r="AQ101" s="15">
        <f t="shared" si="19"/>
        <v>141012897.03999999</v>
      </c>
      <c r="AU101" s="33"/>
      <c r="AV101" s="33"/>
    </row>
    <row r="102" spans="2:48" s="20" customFormat="1" x14ac:dyDescent="0.25">
      <c r="B102" s="21">
        <v>42401</v>
      </c>
      <c r="C102" s="15">
        <v>11708424.24</v>
      </c>
      <c r="D102" s="15">
        <v>0</v>
      </c>
      <c r="E102" s="15">
        <v>4117623.31</v>
      </c>
      <c r="F102" s="15">
        <v>968097.54</v>
      </c>
      <c r="G102" s="15">
        <f t="shared" si="10"/>
        <v>16794145.09</v>
      </c>
      <c r="H102" s="15">
        <v>4753661.29</v>
      </c>
      <c r="I102" s="15">
        <v>491688.26</v>
      </c>
      <c r="J102" s="15">
        <v>2712644.44</v>
      </c>
      <c r="K102" s="15">
        <f t="shared" si="11"/>
        <v>24752139.080000002</v>
      </c>
      <c r="L102" s="15">
        <v>0</v>
      </c>
      <c r="M102" s="15">
        <v>0</v>
      </c>
      <c r="N102" s="15">
        <v>86599552.680000007</v>
      </c>
      <c r="O102" s="15">
        <v>5683476.6399999997</v>
      </c>
      <c r="P102" s="15">
        <v>517334.3</v>
      </c>
      <c r="Q102" s="15">
        <v>1878968.48</v>
      </c>
      <c r="R102" s="15">
        <v>680971.54</v>
      </c>
      <c r="S102" s="15">
        <v>958070.28</v>
      </c>
      <c r="T102" s="15">
        <v>0</v>
      </c>
      <c r="U102" s="15">
        <v>0</v>
      </c>
      <c r="V102" s="15">
        <v>0</v>
      </c>
      <c r="W102" s="15">
        <f t="shared" si="12"/>
        <v>96318373.920000017</v>
      </c>
      <c r="X102" s="15">
        <v>0</v>
      </c>
      <c r="Y102" s="15">
        <v>0</v>
      </c>
      <c r="Z102" s="15">
        <v>0</v>
      </c>
      <c r="AA102" s="15">
        <v>0</v>
      </c>
      <c r="AB102" s="15">
        <f t="shared" si="13"/>
        <v>0</v>
      </c>
      <c r="AC102" s="15">
        <v>9245978.2300000004</v>
      </c>
      <c r="AD102" s="15">
        <v>25689979.899999999</v>
      </c>
      <c r="AE102" s="15">
        <v>0</v>
      </c>
      <c r="AF102" s="15">
        <f t="shared" si="14"/>
        <v>34935958.129999995</v>
      </c>
      <c r="AG102" s="15">
        <v>0</v>
      </c>
      <c r="AH102" s="15">
        <v>38084.28</v>
      </c>
      <c r="AI102" s="15">
        <v>0</v>
      </c>
      <c r="AJ102" s="16"/>
      <c r="AK102" s="15">
        <f t="shared" si="15"/>
        <v>24752139.080000002</v>
      </c>
      <c r="AL102" s="17">
        <f t="shared" si="16"/>
        <v>96318373.920000017</v>
      </c>
      <c r="AM102" s="22">
        <v>-49489.7</v>
      </c>
      <c r="AN102" s="19"/>
      <c r="AO102" s="15">
        <f t="shared" si="17"/>
        <v>155995065.71000004</v>
      </c>
      <c r="AP102" s="15">
        <f t="shared" si="18"/>
        <v>156044555.41000003</v>
      </c>
      <c r="AQ102" s="15">
        <f t="shared" si="19"/>
        <v>121070513.00000001</v>
      </c>
      <c r="AU102" s="33"/>
      <c r="AV102" s="33"/>
    </row>
    <row r="103" spans="2:48" s="20" customFormat="1" x14ac:dyDescent="0.25">
      <c r="B103" s="23">
        <v>42430</v>
      </c>
      <c r="C103" s="15">
        <v>8605445.2400000002</v>
      </c>
      <c r="D103" s="15">
        <v>27417377</v>
      </c>
      <c r="E103" s="15">
        <v>4562312.71</v>
      </c>
      <c r="F103" s="15">
        <v>795248.66999999993</v>
      </c>
      <c r="G103" s="15">
        <f t="shared" si="10"/>
        <v>41380383.620000005</v>
      </c>
      <c r="H103" s="15">
        <v>6490306.6900000004</v>
      </c>
      <c r="I103" s="15">
        <v>1429740.9699999988</v>
      </c>
      <c r="J103" s="15">
        <v>1906302.549999997</v>
      </c>
      <c r="K103" s="15">
        <f t="shared" si="11"/>
        <v>51206733.829999998</v>
      </c>
      <c r="L103" s="15">
        <v>34019517</v>
      </c>
      <c r="M103" s="15">
        <v>0</v>
      </c>
      <c r="N103" s="15">
        <v>67430666.450000003</v>
      </c>
      <c r="O103" s="15">
        <v>8587218.4100000001</v>
      </c>
      <c r="P103" s="15">
        <v>261751.81</v>
      </c>
      <c r="Q103" s="15">
        <v>869165.53</v>
      </c>
      <c r="R103" s="15">
        <v>778534.29</v>
      </c>
      <c r="S103" s="15">
        <v>451972.03</v>
      </c>
      <c r="T103" s="15">
        <v>0</v>
      </c>
      <c r="U103" s="15">
        <v>0</v>
      </c>
      <c r="V103" s="15">
        <v>0</v>
      </c>
      <c r="W103" s="15">
        <f t="shared" si="12"/>
        <v>78379308.520000011</v>
      </c>
      <c r="X103" s="15">
        <v>914.91</v>
      </c>
      <c r="Y103" s="15">
        <v>332354.09000000003</v>
      </c>
      <c r="Z103" s="15">
        <v>1040682.24</v>
      </c>
      <c r="AA103" s="15">
        <v>0</v>
      </c>
      <c r="AB103" s="15">
        <f t="shared" si="13"/>
        <v>1373951.24</v>
      </c>
      <c r="AC103" s="15">
        <v>9245978.2300000004</v>
      </c>
      <c r="AD103" s="15">
        <v>25689979.899999999</v>
      </c>
      <c r="AE103" s="15">
        <v>0</v>
      </c>
      <c r="AF103" s="15">
        <f t="shared" si="14"/>
        <v>34935958.129999995</v>
      </c>
      <c r="AG103" s="15">
        <v>0</v>
      </c>
      <c r="AH103" s="15">
        <v>133755.53</v>
      </c>
      <c r="AI103" s="15">
        <v>0</v>
      </c>
      <c r="AJ103" s="16"/>
      <c r="AK103" s="15">
        <f t="shared" si="15"/>
        <v>85226250.829999998</v>
      </c>
      <c r="AL103" s="17">
        <f t="shared" si="16"/>
        <v>79753259.760000005</v>
      </c>
      <c r="AM103" s="22">
        <v>-347449</v>
      </c>
      <c r="AN103" s="19"/>
      <c r="AO103" s="15">
        <f t="shared" si="17"/>
        <v>199701775.25</v>
      </c>
      <c r="AP103" s="15">
        <f t="shared" si="18"/>
        <v>200049224.25</v>
      </c>
      <c r="AQ103" s="15">
        <f t="shared" si="19"/>
        <v>164979510.59</v>
      </c>
      <c r="AU103" s="33"/>
      <c r="AV103" s="33"/>
    </row>
    <row r="104" spans="2:48" s="20" customFormat="1" x14ac:dyDescent="0.25">
      <c r="B104" s="24">
        <v>42461</v>
      </c>
      <c r="C104" s="15">
        <v>2737864.72</v>
      </c>
      <c r="D104" s="15">
        <v>0</v>
      </c>
      <c r="E104" s="15">
        <v>6016426.2800000003</v>
      </c>
      <c r="F104" s="15">
        <v>415012.55</v>
      </c>
      <c r="G104" s="15">
        <f t="shared" si="10"/>
        <v>9169303.5500000007</v>
      </c>
      <c r="H104" s="15">
        <v>2510867.36</v>
      </c>
      <c r="I104" s="15">
        <v>903906.54</v>
      </c>
      <c r="J104" s="15">
        <v>1468115.92</v>
      </c>
      <c r="K104" s="15">
        <f t="shared" si="11"/>
        <v>14052193.369999999</v>
      </c>
      <c r="L104" s="15">
        <v>0</v>
      </c>
      <c r="M104" s="15">
        <v>0</v>
      </c>
      <c r="N104" s="15">
        <v>84371816.5</v>
      </c>
      <c r="O104" s="15">
        <v>6170036.8300000001</v>
      </c>
      <c r="P104" s="15">
        <v>480864.97</v>
      </c>
      <c r="Q104" s="15">
        <v>920246.08</v>
      </c>
      <c r="R104" s="15">
        <v>689446.59</v>
      </c>
      <c r="S104" s="15">
        <v>469695.16</v>
      </c>
      <c r="T104" s="15">
        <v>0</v>
      </c>
      <c r="U104" s="15">
        <v>0</v>
      </c>
      <c r="V104" s="15">
        <v>0</v>
      </c>
      <c r="W104" s="15">
        <f t="shared" si="12"/>
        <v>93102106.129999995</v>
      </c>
      <c r="X104" s="15">
        <v>0</v>
      </c>
      <c r="Y104" s="15">
        <v>110633.55</v>
      </c>
      <c r="Z104" s="15">
        <v>385063.12</v>
      </c>
      <c r="AA104" s="15">
        <v>0</v>
      </c>
      <c r="AB104" s="15">
        <f t="shared" si="13"/>
        <v>495696.67</v>
      </c>
      <c r="AC104" s="15">
        <v>9245978.2300000004</v>
      </c>
      <c r="AD104" s="15">
        <v>25689979.899999999</v>
      </c>
      <c r="AE104" s="15">
        <v>8368000</v>
      </c>
      <c r="AF104" s="15">
        <f t="shared" si="14"/>
        <v>43303958.129999995</v>
      </c>
      <c r="AG104" s="15">
        <v>0</v>
      </c>
      <c r="AH104" s="15">
        <v>116565.49</v>
      </c>
      <c r="AI104" s="15">
        <v>0</v>
      </c>
      <c r="AJ104" s="16"/>
      <c r="AK104" s="15">
        <f t="shared" si="15"/>
        <v>14052193.369999999</v>
      </c>
      <c r="AL104" s="17">
        <f t="shared" si="16"/>
        <v>93597802.799999997</v>
      </c>
      <c r="AM104" s="22">
        <v>-48388.08</v>
      </c>
      <c r="AN104" s="19"/>
      <c r="AO104" s="15">
        <f t="shared" si="17"/>
        <v>151022131.70999998</v>
      </c>
      <c r="AP104" s="15">
        <f t="shared" si="18"/>
        <v>151070519.78999999</v>
      </c>
      <c r="AQ104" s="15">
        <f t="shared" si="19"/>
        <v>107649996.17</v>
      </c>
      <c r="AU104" s="33"/>
      <c r="AV104" s="33"/>
    </row>
    <row r="105" spans="2:48" s="20" customFormat="1" x14ac:dyDescent="0.25">
      <c r="B105" s="25">
        <v>42491</v>
      </c>
      <c r="C105" s="15">
        <v>2713522.97</v>
      </c>
      <c r="D105" s="15">
        <v>0</v>
      </c>
      <c r="E105" s="15">
        <v>6481958.0700000003</v>
      </c>
      <c r="F105" s="15">
        <v>233722.65000000002</v>
      </c>
      <c r="G105" s="15">
        <f t="shared" si="10"/>
        <v>9429203.6900000013</v>
      </c>
      <c r="H105" s="15">
        <v>4152173.25</v>
      </c>
      <c r="I105" s="15">
        <v>2913795.65</v>
      </c>
      <c r="J105" s="15">
        <v>1045373.06</v>
      </c>
      <c r="K105" s="15">
        <f t="shared" si="11"/>
        <v>17540545.650000002</v>
      </c>
      <c r="L105" s="15">
        <v>0</v>
      </c>
      <c r="M105" s="15">
        <v>0</v>
      </c>
      <c r="N105" s="15">
        <v>112397507.70999999</v>
      </c>
      <c r="O105" s="15">
        <v>13471391.77</v>
      </c>
      <c r="P105" s="15">
        <v>230471.98</v>
      </c>
      <c r="Q105" s="15">
        <v>997831.83</v>
      </c>
      <c r="R105" s="15">
        <v>758109.23</v>
      </c>
      <c r="S105" s="15">
        <v>515336.13</v>
      </c>
      <c r="T105" s="15">
        <v>0</v>
      </c>
      <c r="U105" s="15">
        <v>0</v>
      </c>
      <c r="V105" s="15">
        <v>20994581.079999998</v>
      </c>
      <c r="W105" s="15">
        <f t="shared" si="12"/>
        <v>149365229.72999999</v>
      </c>
      <c r="X105" s="15">
        <v>2159.12</v>
      </c>
      <c r="Y105" s="15">
        <v>110633.55</v>
      </c>
      <c r="Z105" s="15">
        <v>760903.57000000007</v>
      </c>
      <c r="AA105" s="15">
        <v>0</v>
      </c>
      <c r="AB105" s="15">
        <f t="shared" si="13"/>
        <v>873696.24000000011</v>
      </c>
      <c r="AC105" s="15">
        <v>9245978.2300000004</v>
      </c>
      <c r="AD105" s="15">
        <v>25689979.899999999</v>
      </c>
      <c r="AE105" s="15">
        <v>15324651.5</v>
      </c>
      <c r="AF105" s="15">
        <f t="shared" si="14"/>
        <v>50260609.629999995</v>
      </c>
      <c r="AG105" s="15">
        <v>0</v>
      </c>
      <c r="AH105" s="15">
        <v>235697.93</v>
      </c>
      <c r="AI105" s="15">
        <v>0</v>
      </c>
      <c r="AJ105" s="16"/>
      <c r="AK105" s="15">
        <f t="shared" si="15"/>
        <v>17540545.650000002</v>
      </c>
      <c r="AL105" s="17">
        <f t="shared" si="16"/>
        <v>150238925.97</v>
      </c>
      <c r="AM105" s="22">
        <v>-11681</v>
      </c>
      <c r="AN105" s="19"/>
      <c r="AO105" s="15">
        <f t="shared" si="17"/>
        <v>218264098.18000001</v>
      </c>
      <c r="AP105" s="15">
        <f t="shared" si="18"/>
        <v>218275779.18000001</v>
      </c>
      <c r="AQ105" s="15">
        <f t="shared" si="19"/>
        <v>167779471.62</v>
      </c>
      <c r="AU105" s="33"/>
      <c r="AV105" s="33"/>
    </row>
    <row r="106" spans="2:48" s="20" customFormat="1" x14ac:dyDescent="0.25">
      <c r="B106" s="26">
        <v>42522</v>
      </c>
      <c r="C106" s="15">
        <v>5038487.58</v>
      </c>
      <c r="D106" s="15">
        <v>0</v>
      </c>
      <c r="E106" s="15">
        <v>7892029.8499999996</v>
      </c>
      <c r="F106" s="15">
        <v>116553.09</v>
      </c>
      <c r="G106" s="15">
        <f t="shared" si="10"/>
        <v>13047070.52</v>
      </c>
      <c r="H106" s="15">
        <v>3203248.47</v>
      </c>
      <c r="I106" s="15">
        <v>3282311.19</v>
      </c>
      <c r="J106" s="15">
        <v>2014133.6099999994</v>
      </c>
      <c r="K106" s="15">
        <f t="shared" si="11"/>
        <v>21546763.789999999</v>
      </c>
      <c r="L106" s="15">
        <v>24246962</v>
      </c>
      <c r="M106" s="15">
        <v>0</v>
      </c>
      <c r="N106" s="15">
        <v>63331655.219999999</v>
      </c>
      <c r="O106" s="15">
        <v>8696373.4600000009</v>
      </c>
      <c r="P106" s="15">
        <v>261751.81</v>
      </c>
      <c r="Q106" s="15">
        <v>935271.04</v>
      </c>
      <c r="R106" s="15">
        <v>823869.05</v>
      </c>
      <c r="S106" s="15">
        <v>477942.2</v>
      </c>
      <c r="T106" s="15">
        <v>0</v>
      </c>
      <c r="U106" s="15">
        <v>0</v>
      </c>
      <c r="V106" s="15">
        <v>0</v>
      </c>
      <c r="W106" s="15">
        <f t="shared" si="12"/>
        <v>74526862.780000016</v>
      </c>
      <c r="X106" s="15">
        <v>1290.3599999999999</v>
      </c>
      <c r="Y106" s="15">
        <v>110633.55</v>
      </c>
      <c r="Z106" s="15">
        <v>395211.15</v>
      </c>
      <c r="AA106" s="15">
        <v>0</v>
      </c>
      <c r="AB106" s="15">
        <f t="shared" si="13"/>
        <v>507135.06000000006</v>
      </c>
      <c r="AC106" s="15">
        <v>9245978.2300000004</v>
      </c>
      <c r="AD106" s="15">
        <v>25689979.899999999</v>
      </c>
      <c r="AE106" s="15">
        <v>81028760.019999996</v>
      </c>
      <c r="AF106" s="15">
        <f t="shared" si="14"/>
        <v>115964718.14999999</v>
      </c>
      <c r="AG106" s="15">
        <v>0</v>
      </c>
      <c r="AH106" s="15">
        <v>190425.11</v>
      </c>
      <c r="AI106" s="15">
        <v>0</v>
      </c>
      <c r="AJ106" s="16"/>
      <c r="AK106" s="15">
        <f t="shared" si="15"/>
        <v>45793725.789999999</v>
      </c>
      <c r="AL106" s="17">
        <f t="shared" si="16"/>
        <v>75033997.840000018</v>
      </c>
      <c r="AM106" s="22">
        <v>-1687</v>
      </c>
      <c r="AN106" s="19"/>
      <c r="AO106" s="15">
        <f t="shared" si="17"/>
        <v>236981179.88999999</v>
      </c>
      <c r="AP106" s="15">
        <f t="shared" si="18"/>
        <v>236982866.88999999</v>
      </c>
      <c r="AQ106" s="15">
        <f t="shared" si="19"/>
        <v>120827723.63000003</v>
      </c>
      <c r="AU106" s="33"/>
      <c r="AV106" s="33"/>
    </row>
    <row r="107" spans="2:48" s="20" customFormat="1" x14ac:dyDescent="0.25">
      <c r="B107" s="27">
        <v>42552</v>
      </c>
      <c r="C107" s="15">
        <v>4398181.87</v>
      </c>
      <c r="D107" s="15">
        <v>0</v>
      </c>
      <c r="E107" s="15">
        <v>8062082.7400000002</v>
      </c>
      <c r="F107" s="15">
        <v>129635.87</v>
      </c>
      <c r="G107" s="15">
        <f t="shared" si="10"/>
        <v>12589900.479999999</v>
      </c>
      <c r="H107" s="15">
        <v>3926913.13</v>
      </c>
      <c r="I107" s="15">
        <v>2257927.1</v>
      </c>
      <c r="J107" s="15">
        <v>1325893.6000000001</v>
      </c>
      <c r="K107" s="15">
        <f t="shared" si="11"/>
        <v>20100634.310000002</v>
      </c>
      <c r="L107" s="15">
        <v>0</v>
      </c>
      <c r="M107" s="15">
        <v>0</v>
      </c>
      <c r="N107" s="15">
        <v>91215472.079999998</v>
      </c>
      <c r="O107" s="15">
        <v>10253477.029999999</v>
      </c>
      <c r="P107" s="15">
        <v>444728.44</v>
      </c>
      <c r="Q107" s="15">
        <v>981544.44</v>
      </c>
      <c r="R107" s="15">
        <v>0</v>
      </c>
      <c r="S107" s="15">
        <v>492040.39</v>
      </c>
      <c r="T107" s="15">
        <v>0</v>
      </c>
      <c r="U107" s="15">
        <v>0</v>
      </c>
      <c r="V107" s="15">
        <v>0</v>
      </c>
      <c r="W107" s="15">
        <f t="shared" si="12"/>
        <v>103387262.38</v>
      </c>
      <c r="X107" s="15">
        <v>0</v>
      </c>
      <c r="Y107" s="15">
        <v>110633.55</v>
      </c>
      <c r="Z107" s="15">
        <v>433569.21</v>
      </c>
      <c r="AA107" s="15">
        <v>0</v>
      </c>
      <c r="AB107" s="15">
        <f t="shared" si="13"/>
        <v>544202.76</v>
      </c>
      <c r="AC107" s="15">
        <v>9245978.2300000004</v>
      </c>
      <c r="AD107" s="15">
        <v>25689979.899999999</v>
      </c>
      <c r="AE107" s="15">
        <v>14861463.99</v>
      </c>
      <c r="AF107" s="15">
        <f t="shared" si="14"/>
        <v>49797422.119999997</v>
      </c>
      <c r="AG107" s="15">
        <v>0</v>
      </c>
      <c r="AH107" s="15">
        <v>248221.06</v>
      </c>
      <c r="AI107" s="15">
        <v>0</v>
      </c>
      <c r="AJ107" s="16"/>
      <c r="AK107" s="15">
        <f t="shared" si="15"/>
        <v>20100634.310000002</v>
      </c>
      <c r="AL107" s="17">
        <f t="shared" si="16"/>
        <v>103931465.14</v>
      </c>
      <c r="AM107" s="22">
        <v>-24004</v>
      </c>
      <c r="AN107" s="19"/>
      <c r="AO107" s="15">
        <f t="shared" si="17"/>
        <v>174053738.63</v>
      </c>
      <c r="AP107" s="15">
        <f t="shared" si="18"/>
        <v>174077742.63</v>
      </c>
      <c r="AQ107" s="15">
        <f t="shared" si="19"/>
        <v>124032099.45</v>
      </c>
      <c r="AU107" s="33"/>
      <c r="AV107" s="33"/>
    </row>
    <row r="108" spans="2:48" s="20" customFormat="1" x14ac:dyDescent="0.25">
      <c r="B108" s="28">
        <v>42583</v>
      </c>
      <c r="C108" s="15">
        <v>2562805.14</v>
      </c>
      <c r="D108" s="15">
        <v>0</v>
      </c>
      <c r="E108" s="15">
        <v>6348782.2400000002</v>
      </c>
      <c r="F108" s="15">
        <v>321275.36</v>
      </c>
      <c r="G108" s="15">
        <f t="shared" si="10"/>
        <v>9232862.7400000002</v>
      </c>
      <c r="H108" s="15">
        <v>4585515.24</v>
      </c>
      <c r="I108" s="15">
        <v>691771.02</v>
      </c>
      <c r="J108" s="15">
        <v>1728394.33</v>
      </c>
      <c r="K108" s="15">
        <f t="shared" si="11"/>
        <v>16238543.33</v>
      </c>
      <c r="L108" s="15">
        <v>10626072</v>
      </c>
      <c r="M108" s="15">
        <v>0</v>
      </c>
      <c r="N108" s="15">
        <v>65285018.950000003</v>
      </c>
      <c r="O108" s="15">
        <v>8861598.1799999997</v>
      </c>
      <c r="P108" s="15">
        <v>261751.81</v>
      </c>
      <c r="Q108" s="15">
        <v>963678.02</v>
      </c>
      <c r="R108" s="15">
        <v>0</v>
      </c>
      <c r="S108" s="15">
        <v>446147.75</v>
      </c>
      <c r="T108" s="15">
        <v>0</v>
      </c>
      <c r="U108" s="15">
        <v>0</v>
      </c>
      <c r="V108" s="15">
        <v>0</v>
      </c>
      <c r="W108" s="15">
        <f t="shared" si="12"/>
        <v>75818194.709999993</v>
      </c>
      <c r="X108" s="15">
        <v>0</v>
      </c>
      <c r="Y108" s="15">
        <v>110633.55</v>
      </c>
      <c r="Z108" s="15">
        <v>423122.94</v>
      </c>
      <c r="AA108" s="15">
        <v>0</v>
      </c>
      <c r="AB108" s="15">
        <f t="shared" si="13"/>
        <v>533756.49</v>
      </c>
      <c r="AC108" s="15">
        <v>9245978.2300000004</v>
      </c>
      <c r="AD108" s="15">
        <v>25689979.899999999</v>
      </c>
      <c r="AE108" s="15">
        <v>16506990.5</v>
      </c>
      <c r="AF108" s="15">
        <f t="shared" si="14"/>
        <v>51442948.629999995</v>
      </c>
      <c r="AG108" s="15">
        <v>0</v>
      </c>
      <c r="AH108" s="15">
        <v>113235.91</v>
      </c>
      <c r="AI108" s="15">
        <v>0</v>
      </c>
      <c r="AJ108" s="16"/>
      <c r="AK108" s="15">
        <f t="shared" si="15"/>
        <v>26864615.329999998</v>
      </c>
      <c r="AL108" s="17">
        <f t="shared" si="16"/>
        <v>76351951.199999988</v>
      </c>
      <c r="AM108" s="22">
        <v>0</v>
      </c>
      <c r="AN108" s="19"/>
      <c r="AO108" s="15">
        <f t="shared" si="17"/>
        <v>154772751.06999999</v>
      </c>
      <c r="AP108" s="15">
        <f t="shared" si="18"/>
        <v>154772751.06999999</v>
      </c>
      <c r="AQ108" s="15">
        <f t="shared" si="19"/>
        <v>103216566.52999999</v>
      </c>
      <c r="AU108" s="33"/>
    </row>
    <row r="109" spans="2:48" s="20" customFormat="1" x14ac:dyDescent="0.25">
      <c r="B109" s="29">
        <v>42614</v>
      </c>
      <c r="C109" s="15">
        <v>2332638.39</v>
      </c>
      <c r="D109" s="15">
        <v>0</v>
      </c>
      <c r="E109" s="15">
        <v>7040512.6699999999</v>
      </c>
      <c r="F109" s="15">
        <v>131770.88</v>
      </c>
      <c r="G109" s="15">
        <f t="shared" si="10"/>
        <v>9504921.9400000013</v>
      </c>
      <c r="H109" s="15">
        <v>4474171.07</v>
      </c>
      <c r="I109" s="15">
        <v>4631319.3600000003</v>
      </c>
      <c r="J109" s="15">
        <v>1287984.79</v>
      </c>
      <c r="K109" s="15">
        <f t="shared" si="11"/>
        <v>19898397.16</v>
      </c>
      <c r="L109" s="15">
        <v>0</v>
      </c>
      <c r="M109" s="15">
        <v>0</v>
      </c>
      <c r="N109" s="15">
        <v>80220021.599999994</v>
      </c>
      <c r="O109" s="15">
        <v>8497312.2799999993</v>
      </c>
      <c r="P109" s="15">
        <v>261751.81</v>
      </c>
      <c r="Q109" s="15">
        <v>958765.4</v>
      </c>
      <c r="R109" s="15">
        <v>207719.62</v>
      </c>
      <c r="S109" s="15">
        <v>470494.85</v>
      </c>
      <c r="T109" s="15">
        <v>0</v>
      </c>
      <c r="U109" s="15">
        <v>0</v>
      </c>
      <c r="V109" s="15">
        <v>0</v>
      </c>
      <c r="W109" s="15">
        <f t="shared" si="12"/>
        <v>90616065.560000002</v>
      </c>
      <c r="X109" s="15">
        <v>0</v>
      </c>
      <c r="Y109" s="15">
        <v>110633.55</v>
      </c>
      <c r="Z109" s="15">
        <v>344838.73</v>
      </c>
      <c r="AA109" s="15">
        <v>0</v>
      </c>
      <c r="AB109" s="15">
        <f t="shared" si="13"/>
        <v>455472.27999999997</v>
      </c>
      <c r="AC109" s="15">
        <v>9245978.2300000004</v>
      </c>
      <c r="AD109" s="15">
        <v>25689979.899999999</v>
      </c>
      <c r="AE109" s="15">
        <v>2193326.1800000002</v>
      </c>
      <c r="AF109" s="15">
        <f t="shared" si="14"/>
        <v>37129284.309999995</v>
      </c>
      <c r="AG109" s="15">
        <v>0</v>
      </c>
      <c r="AH109" s="15">
        <v>334077.93</v>
      </c>
      <c r="AI109" s="15">
        <f>15545271</f>
        <v>15545271</v>
      </c>
      <c r="AJ109" s="16"/>
      <c r="AK109" s="15">
        <f t="shared" si="15"/>
        <v>19898397.16</v>
      </c>
      <c r="AL109" s="17">
        <f t="shared" si="16"/>
        <v>91071537.840000004</v>
      </c>
      <c r="AM109" s="22">
        <v>0</v>
      </c>
      <c r="AN109" s="19"/>
      <c r="AO109" s="15">
        <f t="shared" si="17"/>
        <v>163978568.24000001</v>
      </c>
      <c r="AP109" s="15">
        <f t="shared" si="18"/>
        <v>148433297.24000001</v>
      </c>
      <c r="AQ109" s="15">
        <f t="shared" si="19"/>
        <v>110969935</v>
      </c>
      <c r="AU109" s="33"/>
      <c r="AV109" s="33"/>
    </row>
    <row r="110" spans="2:48" s="20" customFormat="1" x14ac:dyDescent="0.25">
      <c r="B110" s="30">
        <v>42644</v>
      </c>
      <c r="C110" s="15">
        <v>3845167.67</v>
      </c>
      <c r="D110" s="15">
        <v>0</v>
      </c>
      <c r="E110" s="15">
        <v>6902679.7300000004</v>
      </c>
      <c r="F110" s="15">
        <v>597026.1</v>
      </c>
      <c r="G110" s="15">
        <f t="shared" si="10"/>
        <v>11344873.5</v>
      </c>
      <c r="H110" s="15">
        <v>2556585.77</v>
      </c>
      <c r="I110" s="15">
        <v>739363.72</v>
      </c>
      <c r="J110" s="15">
        <v>1240700.3900000006</v>
      </c>
      <c r="K110" s="15">
        <f t="shared" si="11"/>
        <v>15881523.380000001</v>
      </c>
      <c r="L110" s="15">
        <v>14000000</v>
      </c>
      <c r="M110" s="15">
        <v>0</v>
      </c>
      <c r="N110" s="15">
        <v>57135680.969999999</v>
      </c>
      <c r="O110" s="15">
        <v>11097001.68</v>
      </c>
      <c r="P110" s="15">
        <v>417513.97</v>
      </c>
      <c r="Q110" s="15">
        <v>997976.8</v>
      </c>
      <c r="R110" s="15">
        <v>938909.87</v>
      </c>
      <c r="S110" s="15">
        <v>486029.22</v>
      </c>
      <c r="T110" s="15">
        <v>0</v>
      </c>
      <c r="U110" s="15">
        <v>0</v>
      </c>
      <c r="V110" s="15">
        <v>0</v>
      </c>
      <c r="W110" s="15">
        <f t="shared" si="12"/>
        <v>71073112.510000005</v>
      </c>
      <c r="X110" s="15">
        <v>0</v>
      </c>
      <c r="Y110" s="15">
        <v>110633.55</v>
      </c>
      <c r="Z110" s="15">
        <v>336459.79</v>
      </c>
      <c r="AA110" s="15">
        <v>0</v>
      </c>
      <c r="AB110" s="15">
        <f t="shared" si="13"/>
        <v>447093.33999999997</v>
      </c>
      <c r="AC110" s="15">
        <v>9245978.2300000004</v>
      </c>
      <c r="AD110" s="15">
        <v>25689979.899999999</v>
      </c>
      <c r="AE110" s="15">
        <v>1050000</v>
      </c>
      <c r="AF110" s="15">
        <f t="shared" si="14"/>
        <v>35985958.129999995</v>
      </c>
      <c r="AG110" s="15">
        <v>0</v>
      </c>
      <c r="AH110" s="15">
        <v>154696.97</v>
      </c>
      <c r="AI110" s="15">
        <v>0</v>
      </c>
      <c r="AJ110" s="16"/>
      <c r="AK110" s="15">
        <f t="shared" si="15"/>
        <v>29881523.380000003</v>
      </c>
      <c r="AL110" s="17">
        <f t="shared" si="16"/>
        <v>71520205.850000009</v>
      </c>
      <c r="AM110" s="22">
        <v>0</v>
      </c>
      <c r="AN110" s="19"/>
      <c r="AO110" s="15">
        <f t="shared" si="17"/>
        <v>137542384.33000001</v>
      </c>
      <c r="AP110" s="15">
        <f t="shared" si="18"/>
        <v>137542384.33000001</v>
      </c>
      <c r="AQ110" s="15">
        <f t="shared" si="19"/>
        <v>101401729.23000002</v>
      </c>
      <c r="AU110" s="33"/>
      <c r="AV110" s="33"/>
    </row>
    <row r="111" spans="2:48" s="20" customFormat="1" x14ac:dyDescent="0.25">
      <c r="B111" s="31">
        <v>42675</v>
      </c>
      <c r="C111" s="15">
        <v>2490889.4300000002</v>
      </c>
      <c r="D111" s="15">
        <v>0</v>
      </c>
      <c r="E111" s="15">
        <v>9270675.4199999999</v>
      </c>
      <c r="F111" s="15">
        <v>16873.96</v>
      </c>
      <c r="G111" s="15">
        <f t="shared" si="10"/>
        <v>11778438.810000001</v>
      </c>
      <c r="H111" s="15">
        <v>3137305.47</v>
      </c>
      <c r="I111" s="15">
        <v>-2783481.67</v>
      </c>
      <c r="J111" s="15">
        <v>1309837.2399999984</v>
      </c>
      <c r="K111" s="15">
        <f t="shared" si="11"/>
        <v>13442099.85</v>
      </c>
      <c r="L111" s="15">
        <v>20892000</v>
      </c>
      <c r="M111" s="15">
        <v>0</v>
      </c>
      <c r="N111" s="15">
        <v>64306179.770000003</v>
      </c>
      <c r="O111" s="15">
        <v>0</v>
      </c>
      <c r="P111" s="15">
        <v>261751.81</v>
      </c>
      <c r="Q111" s="15">
        <v>939523.74</v>
      </c>
      <c r="R111" s="15">
        <v>0</v>
      </c>
      <c r="S111" s="15">
        <v>461094.21</v>
      </c>
      <c r="T111" s="15">
        <v>0</v>
      </c>
      <c r="U111" s="15">
        <v>0</v>
      </c>
      <c r="V111" s="15">
        <v>0</v>
      </c>
      <c r="W111" s="15">
        <f t="shared" si="12"/>
        <v>65968549.530000009</v>
      </c>
      <c r="X111" s="15">
        <v>0</v>
      </c>
      <c r="Y111" s="15">
        <v>110633.55</v>
      </c>
      <c r="Z111" s="15">
        <v>416858.13</v>
      </c>
      <c r="AA111" s="15">
        <v>0</v>
      </c>
      <c r="AB111" s="15">
        <f t="shared" si="13"/>
        <v>527491.68000000005</v>
      </c>
      <c r="AC111" s="15">
        <v>9245978.2799999993</v>
      </c>
      <c r="AD111" s="15">
        <v>25689979.899999999</v>
      </c>
      <c r="AE111" s="15">
        <v>37473634.93</v>
      </c>
      <c r="AF111" s="15">
        <f t="shared" si="14"/>
        <v>72409593.109999999</v>
      </c>
      <c r="AG111" s="15">
        <v>0</v>
      </c>
      <c r="AH111" s="15">
        <v>215675.3</v>
      </c>
      <c r="AI111" s="15">
        <v>15545271</v>
      </c>
      <c r="AJ111" s="16"/>
      <c r="AK111" s="15">
        <f t="shared" si="15"/>
        <v>34334099.850000001</v>
      </c>
      <c r="AL111" s="17">
        <f t="shared" si="16"/>
        <v>66496041.210000008</v>
      </c>
      <c r="AM111" s="22">
        <v>-3546</v>
      </c>
      <c r="AN111" s="19"/>
      <c r="AO111" s="15">
        <f t="shared" si="17"/>
        <v>188997134.47</v>
      </c>
      <c r="AP111" s="15">
        <f t="shared" si="18"/>
        <v>173455409.47</v>
      </c>
      <c r="AQ111" s="15">
        <f t="shared" si="19"/>
        <v>100830141.06</v>
      </c>
      <c r="AU111" s="33"/>
      <c r="AV111" s="33"/>
    </row>
    <row r="112" spans="2:48" s="20" customFormat="1" x14ac:dyDescent="0.25">
      <c r="B112" s="32">
        <v>42705</v>
      </c>
      <c r="C112" s="15">
        <v>4210082.84</v>
      </c>
      <c r="D112" s="15">
        <v>0</v>
      </c>
      <c r="E112" s="15">
        <v>8802444.6400000006</v>
      </c>
      <c r="F112" s="15">
        <v>345694.87</v>
      </c>
      <c r="G112" s="15">
        <f t="shared" si="10"/>
        <v>13358222.35</v>
      </c>
      <c r="H112" s="15">
        <v>4635044.45</v>
      </c>
      <c r="I112" s="15">
        <v>541422.53</v>
      </c>
      <c r="J112" s="15">
        <v>1396162.2200000007</v>
      </c>
      <c r="K112" s="15">
        <f t="shared" si="11"/>
        <v>19930851.550000004</v>
      </c>
      <c r="L112" s="15">
        <v>12080704</v>
      </c>
      <c r="M112" s="15">
        <v>0</v>
      </c>
      <c r="N112" s="15">
        <v>237037077.77000001</v>
      </c>
      <c r="O112" s="15">
        <v>17578368.379999999</v>
      </c>
      <c r="P112" s="15">
        <v>261751.81</v>
      </c>
      <c r="Q112" s="15">
        <v>956923.74</v>
      </c>
      <c r="R112" s="15">
        <v>1058025.67</v>
      </c>
      <c r="S112" s="15">
        <v>467962.37</v>
      </c>
      <c r="T112" s="15">
        <v>0</v>
      </c>
      <c r="U112" s="15">
        <v>0</v>
      </c>
      <c r="V112" s="15">
        <v>0</v>
      </c>
      <c r="W112" s="15">
        <f t="shared" si="12"/>
        <v>257360109.74000001</v>
      </c>
      <c r="X112" s="15">
        <v>845.05</v>
      </c>
      <c r="Y112" s="15">
        <v>110633.55</v>
      </c>
      <c r="Z112" s="15">
        <v>443938.35</v>
      </c>
      <c r="AA112" s="15">
        <v>0</v>
      </c>
      <c r="AB112" s="15">
        <f t="shared" si="13"/>
        <v>555416.94999999995</v>
      </c>
      <c r="AC112" s="15">
        <v>0</v>
      </c>
      <c r="AD112" s="15">
        <v>51379960.490000002</v>
      </c>
      <c r="AE112" s="15">
        <f>12337009.5</f>
        <v>12337009.5</v>
      </c>
      <c r="AF112" s="15">
        <f t="shared" si="14"/>
        <v>63716969.990000002</v>
      </c>
      <c r="AG112" s="15">
        <v>0</v>
      </c>
      <c r="AH112" s="15">
        <v>155061.89000000001</v>
      </c>
      <c r="AI112" s="15">
        <v>40700000</v>
      </c>
      <c r="AJ112" s="16"/>
      <c r="AK112" s="15">
        <f t="shared" si="15"/>
        <v>32011555.550000004</v>
      </c>
      <c r="AL112" s="17">
        <f t="shared" si="16"/>
        <v>257915526.69</v>
      </c>
      <c r="AM112" s="22">
        <v>0</v>
      </c>
      <c r="AN112" s="19"/>
      <c r="AO112" s="15">
        <f t="shared" si="17"/>
        <v>394499114.12</v>
      </c>
      <c r="AP112" s="15">
        <f t="shared" si="18"/>
        <v>353799114.12</v>
      </c>
      <c r="AQ112" s="15">
        <f t="shared" si="19"/>
        <v>289927082.24000001</v>
      </c>
      <c r="AU112" s="33"/>
      <c r="AV112" s="33"/>
    </row>
    <row r="113" spans="2:48" s="20" customFormat="1" x14ac:dyDescent="0.25">
      <c r="B113" s="14">
        <v>42736</v>
      </c>
      <c r="C113" s="15">
        <v>84935611.260000005</v>
      </c>
      <c r="D113" s="15">
        <v>0</v>
      </c>
      <c r="E113" s="15">
        <v>5148799.01</v>
      </c>
      <c r="F113" s="15">
        <v>1349963.3800000001</v>
      </c>
      <c r="G113" s="15">
        <f t="shared" si="10"/>
        <v>91434373.650000006</v>
      </c>
      <c r="H113" s="15">
        <v>5204691.53</v>
      </c>
      <c r="I113" s="15">
        <v>776691.71</v>
      </c>
      <c r="J113" s="15">
        <v>2088480.02</v>
      </c>
      <c r="K113" s="15">
        <f t="shared" si="11"/>
        <v>99504236.909999996</v>
      </c>
      <c r="L113" s="15">
        <v>0</v>
      </c>
      <c r="M113" s="15">
        <v>0</v>
      </c>
      <c r="N113" s="15">
        <v>73349232.579999998</v>
      </c>
      <c r="O113" s="15">
        <v>0</v>
      </c>
      <c r="P113" s="15">
        <v>257262.98</v>
      </c>
      <c r="Q113" s="15">
        <v>937691.9</v>
      </c>
      <c r="R113" s="15">
        <v>0</v>
      </c>
      <c r="S113" s="15">
        <v>462602.73</v>
      </c>
      <c r="T113" s="15">
        <v>0</v>
      </c>
      <c r="U113" s="15">
        <v>0</v>
      </c>
      <c r="V113" s="15">
        <v>0</v>
      </c>
      <c r="W113" s="15">
        <f t="shared" si="12"/>
        <v>75006790.190000013</v>
      </c>
      <c r="X113" s="15">
        <v>0</v>
      </c>
      <c r="Y113" s="15">
        <v>114927.42</v>
      </c>
      <c r="Z113" s="16">
        <v>0</v>
      </c>
      <c r="AA113" s="15">
        <v>0</v>
      </c>
      <c r="AB113" s="15">
        <f t="shared" si="13"/>
        <v>114927.42</v>
      </c>
      <c r="AC113" s="15">
        <v>0</v>
      </c>
      <c r="AD113" s="15">
        <v>0</v>
      </c>
      <c r="AE113" s="15">
        <v>0</v>
      </c>
      <c r="AF113" s="15">
        <f t="shared" si="14"/>
        <v>0</v>
      </c>
      <c r="AG113" s="15">
        <v>0</v>
      </c>
      <c r="AH113" s="15">
        <v>111594.23999999999</v>
      </c>
      <c r="AI113" s="15">
        <v>127674.68</v>
      </c>
      <c r="AJ113" s="16"/>
      <c r="AK113" s="15">
        <f t="shared" si="15"/>
        <v>99504236.909999996</v>
      </c>
      <c r="AL113" s="17">
        <f t="shared" si="16"/>
        <v>75121717.610000014</v>
      </c>
      <c r="AM113" s="22">
        <v>-919432.75</v>
      </c>
      <c r="AN113" s="34"/>
      <c r="AO113" s="15">
        <f t="shared" si="17"/>
        <v>173945790.69</v>
      </c>
      <c r="AP113" s="15">
        <f t="shared" si="18"/>
        <v>174737548.75999999</v>
      </c>
      <c r="AQ113" s="15">
        <f t="shared" si="19"/>
        <v>174625954.52000001</v>
      </c>
      <c r="AU113" s="33"/>
      <c r="AV113" s="33"/>
    </row>
    <row r="114" spans="2:48" s="20" customFormat="1" x14ac:dyDescent="0.25">
      <c r="B114" s="21">
        <v>42767</v>
      </c>
      <c r="C114" s="15">
        <v>12248395.439999999</v>
      </c>
      <c r="D114" s="15">
        <v>0</v>
      </c>
      <c r="E114" s="15">
        <v>4772653.34</v>
      </c>
      <c r="F114" s="15">
        <v>760046.10000000009</v>
      </c>
      <c r="G114" s="15">
        <f t="shared" si="10"/>
        <v>17781094.880000003</v>
      </c>
      <c r="H114" s="15">
        <v>4217251.79</v>
      </c>
      <c r="I114" s="15">
        <v>523341.24</v>
      </c>
      <c r="J114" s="15">
        <v>1824322.4399999995</v>
      </c>
      <c r="K114" s="15">
        <f t="shared" si="11"/>
        <v>24346010.350000001</v>
      </c>
      <c r="L114" s="15">
        <v>9541913</v>
      </c>
      <c r="M114" s="15">
        <v>0</v>
      </c>
      <c r="N114" s="15">
        <v>63333414.969999999</v>
      </c>
      <c r="O114" s="15">
        <v>8791188.8599999994</v>
      </c>
      <c r="P114" s="15">
        <v>377708.83</v>
      </c>
      <c r="Q114" s="15">
        <v>1038214.17</v>
      </c>
      <c r="R114" s="15">
        <v>549680.11</v>
      </c>
      <c r="S114" s="15">
        <v>538123.69999999995</v>
      </c>
      <c r="T114" s="15">
        <v>0</v>
      </c>
      <c r="U114" s="15">
        <v>0</v>
      </c>
      <c r="V114" s="15">
        <v>0</v>
      </c>
      <c r="W114" s="15">
        <f t="shared" si="12"/>
        <v>74628330.640000001</v>
      </c>
      <c r="X114" s="15">
        <v>0</v>
      </c>
      <c r="Y114" s="15">
        <v>114927.42</v>
      </c>
      <c r="Z114" s="15">
        <v>1143686.21</v>
      </c>
      <c r="AA114" s="15">
        <v>0</v>
      </c>
      <c r="AB114" s="15">
        <f t="shared" si="13"/>
        <v>1258613.6299999999</v>
      </c>
      <c r="AC114" s="15">
        <v>10731947.310000001</v>
      </c>
      <c r="AD114" s="15">
        <v>28182821.899999999</v>
      </c>
      <c r="AE114" s="15">
        <v>0</v>
      </c>
      <c r="AF114" s="15">
        <f t="shared" si="14"/>
        <v>38914769.210000001</v>
      </c>
      <c r="AG114" s="15">
        <v>0</v>
      </c>
      <c r="AH114" s="15">
        <v>7914.9299999999994</v>
      </c>
      <c r="AI114" s="15">
        <v>0</v>
      </c>
      <c r="AJ114" s="16"/>
      <c r="AK114" s="15">
        <f t="shared" si="15"/>
        <v>33887923.350000001</v>
      </c>
      <c r="AL114" s="17">
        <f t="shared" si="16"/>
        <v>75886944.269999996</v>
      </c>
      <c r="AM114" s="22">
        <v>-252328</v>
      </c>
      <c r="AN114" s="34"/>
      <c r="AO114" s="15">
        <f t="shared" si="17"/>
        <v>148445223.75999999</v>
      </c>
      <c r="AP114" s="15">
        <f t="shared" si="18"/>
        <v>148697551.75999999</v>
      </c>
      <c r="AQ114" s="15">
        <f t="shared" si="19"/>
        <v>109774867.62</v>
      </c>
      <c r="AU114" s="33"/>
      <c r="AV114" s="33"/>
    </row>
    <row r="115" spans="2:48" s="20" customFormat="1" x14ac:dyDescent="0.25">
      <c r="B115" s="23">
        <v>42795</v>
      </c>
      <c r="C115" s="15">
        <v>10440617.5</v>
      </c>
      <c r="D115" s="15">
        <v>0</v>
      </c>
      <c r="E115" s="15">
        <v>6199405.3600000003</v>
      </c>
      <c r="F115" s="15">
        <v>972333.6399999999</v>
      </c>
      <c r="G115" s="15">
        <f t="shared" si="10"/>
        <v>17612356.5</v>
      </c>
      <c r="H115" s="15">
        <v>5722881.0999999996</v>
      </c>
      <c r="I115" s="15">
        <v>2113994.0699999998</v>
      </c>
      <c r="J115" s="15">
        <v>2263125.08</v>
      </c>
      <c r="K115" s="15">
        <f t="shared" si="11"/>
        <v>27712356.75</v>
      </c>
      <c r="L115" s="15">
        <v>7909967</v>
      </c>
      <c r="M115" s="15">
        <v>0</v>
      </c>
      <c r="N115" s="15">
        <v>98702470.450000003</v>
      </c>
      <c r="O115" s="15">
        <v>12356995.91</v>
      </c>
      <c r="P115" s="15">
        <v>245864.23</v>
      </c>
      <c r="Q115" s="15">
        <v>1023599.37</v>
      </c>
      <c r="R115" s="15">
        <v>724858.84</v>
      </c>
      <c r="S115" s="15">
        <v>480097.82</v>
      </c>
      <c r="T115" s="15">
        <v>0</v>
      </c>
      <c r="U115" s="15">
        <v>0</v>
      </c>
      <c r="V115" s="15">
        <v>0</v>
      </c>
      <c r="W115" s="15">
        <f t="shared" si="12"/>
        <v>113533886.62</v>
      </c>
      <c r="X115" s="15">
        <v>524.89</v>
      </c>
      <c r="Y115" s="15">
        <v>114927.42</v>
      </c>
      <c r="Z115" s="15">
        <v>310635.19</v>
      </c>
      <c r="AA115" s="15">
        <v>0</v>
      </c>
      <c r="AB115" s="15">
        <f t="shared" si="13"/>
        <v>426087.5</v>
      </c>
      <c r="AC115" s="15">
        <v>10731947.310000001</v>
      </c>
      <c r="AD115" s="15">
        <v>28182821.899999999</v>
      </c>
      <c r="AE115" s="15">
        <v>20381786.600000001</v>
      </c>
      <c r="AF115" s="15">
        <f t="shared" si="14"/>
        <v>59296555.810000002</v>
      </c>
      <c r="AG115" s="15">
        <v>0</v>
      </c>
      <c r="AH115" s="15">
        <v>119028.34</v>
      </c>
      <c r="AI115" s="15">
        <v>0</v>
      </c>
      <c r="AJ115" s="16"/>
      <c r="AK115" s="15">
        <f t="shared" si="15"/>
        <v>35622323.75</v>
      </c>
      <c r="AL115" s="17">
        <f t="shared" si="16"/>
        <v>113959974.12</v>
      </c>
      <c r="AM115" s="22">
        <v>-318.42</v>
      </c>
      <c r="AN115" s="34"/>
      <c r="AO115" s="15">
        <f t="shared" si="17"/>
        <v>208997563.60000002</v>
      </c>
      <c r="AP115" s="15">
        <f t="shared" si="18"/>
        <v>208997882.02000001</v>
      </c>
      <c r="AQ115" s="15">
        <f t="shared" si="19"/>
        <v>149582297.87</v>
      </c>
      <c r="AU115" s="33"/>
      <c r="AV115" s="33"/>
    </row>
    <row r="116" spans="2:48" s="20" customFormat="1" x14ac:dyDescent="0.25">
      <c r="B116" s="24">
        <v>42826</v>
      </c>
      <c r="C116" s="15">
        <v>2549695.21</v>
      </c>
      <c r="D116" s="15">
        <v>0</v>
      </c>
      <c r="E116" s="15">
        <v>2875146.36</v>
      </c>
      <c r="F116" s="15">
        <v>356670.98</v>
      </c>
      <c r="G116" s="15">
        <f t="shared" si="10"/>
        <v>5781512.5500000007</v>
      </c>
      <c r="H116" s="15">
        <v>2311166.56</v>
      </c>
      <c r="I116" s="15">
        <v>263352.28000000003</v>
      </c>
      <c r="J116" s="15">
        <v>1456339.42</v>
      </c>
      <c r="K116" s="15">
        <f t="shared" si="11"/>
        <v>9812370.8100000024</v>
      </c>
      <c r="L116" s="15">
        <v>15013243</v>
      </c>
      <c r="M116" s="15">
        <v>0</v>
      </c>
      <c r="N116" s="15">
        <v>82589179.680000007</v>
      </c>
      <c r="O116" s="15">
        <v>8741434.7100000009</v>
      </c>
      <c r="P116" s="15">
        <v>552736.81000000006</v>
      </c>
      <c r="Q116" s="15">
        <v>832827.16</v>
      </c>
      <c r="R116" s="15">
        <v>568515.31000000006</v>
      </c>
      <c r="S116" s="15">
        <v>443241.49</v>
      </c>
      <c r="T116" s="15">
        <v>0</v>
      </c>
      <c r="U116" s="15">
        <v>0</v>
      </c>
      <c r="V116" s="15">
        <v>0</v>
      </c>
      <c r="W116" s="15">
        <f t="shared" si="12"/>
        <v>93727935.160000011</v>
      </c>
      <c r="X116" s="15">
        <v>0</v>
      </c>
      <c r="Y116" s="15">
        <v>114927.42</v>
      </c>
      <c r="Z116" s="15">
        <v>411174.18</v>
      </c>
      <c r="AA116" s="15">
        <v>0</v>
      </c>
      <c r="AB116" s="15">
        <f t="shared" si="13"/>
        <v>526101.6</v>
      </c>
      <c r="AC116" s="15">
        <v>10731947.310000001</v>
      </c>
      <c r="AD116" s="15">
        <v>28182821.899999999</v>
      </c>
      <c r="AE116" s="15">
        <v>200000</v>
      </c>
      <c r="AF116" s="15">
        <f t="shared" si="14"/>
        <v>39114769.210000001</v>
      </c>
      <c r="AG116" s="15">
        <v>0</v>
      </c>
      <c r="AH116" s="15">
        <v>109564.21</v>
      </c>
      <c r="AI116" s="15">
        <v>0</v>
      </c>
      <c r="AJ116" s="16"/>
      <c r="AK116" s="15">
        <f t="shared" si="15"/>
        <v>24825613.810000002</v>
      </c>
      <c r="AL116" s="17">
        <f t="shared" si="16"/>
        <v>94254036.760000005</v>
      </c>
      <c r="AM116" s="22">
        <v>-2747</v>
      </c>
      <c r="AN116" s="34"/>
      <c r="AO116" s="15">
        <f t="shared" si="17"/>
        <v>158301236.99000001</v>
      </c>
      <c r="AP116" s="15">
        <f t="shared" si="18"/>
        <v>158303983.99000001</v>
      </c>
      <c r="AQ116" s="15">
        <f t="shared" si="19"/>
        <v>119079650.57000001</v>
      </c>
      <c r="AU116" s="33"/>
    </row>
    <row r="117" spans="2:48" s="20" customFormat="1" x14ac:dyDescent="0.25">
      <c r="B117" s="25">
        <v>42856</v>
      </c>
      <c r="C117" s="15">
        <v>3137222.1</v>
      </c>
      <c r="D117" s="15">
        <v>0</v>
      </c>
      <c r="E117" s="15">
        <v>6098028.3799999999</v>
      </c>
      <c r="F117" s="15">
        <v>410341.15</v>
      </c>
      <c r="G117" s="15">
        <f t="shared" si="10"/>
        <v>9645591.6300000008</v>
      </c>
      <c r="H117" s="15">
        <v>2981992.75</v>
      </c>
      <c r="I117" s="15">
        <v>657975.05000000005</v>
      </c>
      <c r="J117" s="15">
        <v>2037709.94</v>
      </c>
      <c r="K117" s="15">
        <f t="shared" si="11"/>
        <v>15323269.370000001</v>
      </c>
      <c r="L117" s="15">
        <v>0</v>
      </c>
      <c r="M117" s="15">
        <v>0</v>
      </c>
      <c r="N117" s="15">
        <v>94689989.079999998</v>
      </c>
      <c r="O117" s="15">
        <v>10519665</v>
      </c>
      <c r="P117" s="15">
        <v>245864.23</v>
      </c>
      <c r="Q117" s="15">
        <v>975011.8</v>
      </c>
      <c r="R117" s="15">
        <v>498919.4</v>
      </c>
      <c r="S117" s="15">
        <v>502151.19</v>
      </c>
      <c r="T117" s="15">
        <v>0</v>
      </c>
      <c r="U117" s="15">
        <v>0</v>
      </c>
      <c r="V117" s="15">
        <v>0</v>
      </c>
      <c r="W117" s="15">
        <f t="shared" si="12"/>
        <v>107431600.7</v>
      </c>
      <c r="X117" s="15">
        <v>0</v>
      </c>
      <c r="Y117" s="15">
        <v>114927.42</v>
      </c>
      <c r="Z117" s="15">
        <v>435963.02</v>
      </c>
      <c r="AA117" s="15">
        <v>0</v>
      </c>
      <c r="AB117" s="15">
        <f t="shared" si="13"/>
        <v>550890.44000000006</v>
      </c>
      <c r="AC117" s="15">
        <v>10731947.310000001</v>
      </c>
      <c r="AD117" s="15">
        <v>28182821.899999999</v>
      </c>
      <c r="AE117" s="15">
        <v>260000</v>
      </c>
      <c r="AF117" s="15">
        <f t="shared" si="14"/>
        <v>39174769.210000001</v>
      </c>
      <c r="AG117" s="15">
        <v>0</v>
      </c>
      <c r="AH117" s="15">
        <v>341026.37</v>
      </c>
      <c r="AI117" s="15">
        <v>5922275.0099999998</v>
      </c>
      <c r="AJ117" s="16"/>
      <c r="AK117" s="15">
        <f t="shared" si="15"/>
        <v>15323269.370000001</v>
      </c>
      <c r="AL117" s="17">
        <f t="shared" si="16"/>
        <v>107982491.14</v>
      </c>
      <c r="AM117" s="22">
        <v>0</v>
      </c>
      <c r="AN117" s="34"/>
      <c r="AO117" s="15">
        <f t="shared" si="17"/>
        <v>168743831.09999999</v>
      </c>
      <c r="AP117" s="15">
        <f t="shared" si="18"/>
        <v>162821556.09</v>
      </c>
      <c r="AQ117" s="15">
        <f t="shared" si="19"/>
        <v>123305760.51000001</v>
      </c>
      <c r="AU117" s="33"/>
      <c r="AV117" s="33"/>
    </row>
    <row r="118" spans="2:48" s="20" customFormat="1" x14ac:dyDescent="0.25">
      <c r="B118" s="26">
        <v>42887</v>
      </c>
      <c r="C118" s="15">
        <v>3233635.68</v>
      </c>
      <c r="D118" s="15">
        <v>0</v>
      </c>
      <c r="E118" s="15">
        <v>6294156.2400000002</v>
      </c>
      <c r="F118" s="15">
        <v>86115.63</v>
      </c>
      <c r="G118" s="15">
        <f t="shared" si="10"/>
        <v>9613907.5500000007</v>
      </c>
      <c r="H118" s="15">
        <v>2967126.85</v>
      </c>
      <c r="I118" s="15">
        <v>1016224.53</v>
      </c>
      <c r="J118" s="15">
        <v>1617914.7200000007</v>
      </c>
      <c r="K118" s="15">
        <f t="shared" si="11"/>
        <v>15215173.65</v>
      </c>
      <c r="L118" s="15">
        <v>11126360</v>
      </c>
      <c r="M118" s="15">
        <v>0</v>
      </c>
      <c r="N118" s="15">
        <v>63452395.450000003</v>
      </c>
      <c r="O118" s="15">
        <v>0</v>
      </c>
      <c r="P118" s="15">
        <v>245645.32</v>
      </c>
      <c r="Q118" s="15">
        <v>883976.25</v>
      </c>
      <c r="R118" s="15">
        <v>578348.81000000006</v>
      </c>
      <c r="S118" s="15">
        <v>464580.54</v>
      </c>
      <c r="T118" s="15">
        <v>0</v>
      </c>
      <c r="U118" s="15">
        <v>0</v>
      </c>
      <c r="V118" s="15">
        <v>1698564.68</v>
      </c>
      <c r="W118" s="15">
        <f t="shared" si="12"/>
        <v>67323511.050000012</v>
      </c>
      <c r="X118" s="15">
        <v>0</v>
      </c>
      <c r="Y118" s="15">
        <v>114927.42</v>
      </c>
      <c r="Z118" s="15">
        <v>369388.97</v>
      </c>
      <c r="AA118" s="15">
        <v>0</v>
      </c>
      <c r="AB118" s="15">
        <f t="shared" si="13"/>
        <v>484316.38999999996</v>
      </c>
      <c r="AC118" s="15">
        <v>10731947.310000001</v>
      </c>
      <c r="AD118" s="15">
        <v>28182821.899999999</v>
      </c>
      <c r="AE118" s="15">
        <v>1870373.58</v>
      </c>
      <c r="AF118" s="15">
        <f t="shared" si="14"/>
        <v>40785142.789999999</v>
      </c>
      <c r="AG118" s="15">
        <v>0</v>
      </c>
      <c r="AH118" s="15">
        <v>357964.77</v>
      </c>
      <c r="AI118" s="15">
        <f>5922275+23218673.25+10700000</f>
        <v>39840948.25</v>
      </c>
      <c r="AJ118" s="16"/>
      <c r="AK118" s="15">
        <f t="shared" si="15"/>
        <v>26341533.649999999</v>
      </c>
      <c r="AL118" s="17">
        <f t="shared" si="16"/>
        <v>67807827.440000013</v>
      </c>
      <c r="AM118" s="22">
        <v>0</v>
      </c>
      <c r="AN118" s="34"/>
      <c r="AO118" s="15">
        <f t="shared" si="17"/>
        <v>175133416.90000004</v>
      </c>
      <c r="AP118" s="15">
        <f t="shared" si="18"/>
        <v>135292468.65000004</v>
      </c>
      <c r="AQ118" s="15">
        <f t="shared" si="19"/>
        <v>94149361.090000004</v>
      </c>
      <c r="AU118" s="33"/>
      <c r="AV118" s="33"/>
    </row>
    <row r="119" spans="2:48" s="20" customFormat="1" x14ac:dyDescent="0.25">
      <c r="B119" s="27">
        <v>42917</v>
      </c>
      <c r="C119" s="15">
        <v>3540778.62</v>
      </c>
      <c r="D119" s="15">
        <v>0</v>
      </c>
      <c r="E119" s="15">
        <v>7884459.29</v>
      </c>
      <c r="F119" s="15">
        <v>124832.65</v>
      </c>
      <c r="G119" s="15">
        <f t="shared" si="10"/>
        <v>11550070.560000001</v>
      </c>
      <c r="H119" s="15">
        <v>4749013.67</v>
      </c>
      <c r="I119" s="15">
        <v>1490422.71</v>
      </c>
      <c r="J119" s="15">
        <v>1513185.8399999999</v>
      </c>
      <c r="K119" s="15">
        <f t="shared" si="11"/>
        <v>19302692.780000001</v>
      </c>
      <c r="L119" s="15">
        <v>10679875</v>
      </c>
      <c r="M119" s="15">
        <v>0</v>
      </c>
      <c r="N119" s="15">
        <v>63151233.329999998</v>
      </c>
      <c r="O119" s="15">
        <v>298128.40000000002</v>
      </c>
      <c r="P119" s="15">
        <v>245864.22999999998</v>
      </c>
      <c r="Q119" s="15">
        <v>874709.13</v>
      </c>
      <c r="R119" s="15">
        <v>588793.02</v>
      </c>
      <c r="S119" s="15">
        <v>501423.66</v>
      </c>
      <c r="T119" s="15">
        <v>0</v>
      </c>
      <c r="U119" s="15">
        <v>0</v>
      </c>
      <c r="V119" s="15">
        <v>15771268.35</v>
      </c>
      <c r="W119" s="15">
        <f t="shared" si="12"/>
        <v>81431420.11999999</v>
      </c>
      <c r="X119" s="15">
        <v>0</v>
      </c>
      <c r="Y119" s="15">
        <v>114927.42</v>
      </c>
      <c r="Z119" s="15">
        <v>560299.19999999995</v>
      </c>
      <c r="AA119" s="15">
        <v>0</v>
      </c>
      <c r="AB119" s="15">
        <f t="shared" si="13"/>
        <v>675226.62</v>
      </c>
      <c r="AC119" s="15">
        <v>10731947.310000001</v>
      </c>
      <c r="AD119" s="15">
        <v>28182821.899999999</v>
      </c>
      <c r="AE119" s="15">
        <v>0</v>
      </c>
      <c r="AF119" s="15">
        <f t="shared" si="14"/>
        <v>38914769.210000001</v>
      </c>
      <c r="AG119" s="15">
        <v>0</v>
      </c>
      <c r="AH119" s="15">
        <v>331761.34999999998</v>
      </c>
      <c r="AI119" s="15">
        <v>0</v>
      </c>
      <c r="AJ119" s="16"/>
      <c r="AK119" s="15">
        <f t="shared" si="15"/>
        <v>29982567.780000001</v>
      </c>
      <c r="AL119" s="17">
        <f t="shared" si="16"/>
        <v>82106646.739999995</v>
      </c>
      <c r="AM119" s="22">
        <v>-5936</v>
      </c>
      <c r="AN119" s="34"/>
      <c r="AO119" s="15">
        <f t="shared" si="17"/>
        <v>151329809.07999998</v>
      </c>
      <c r="AP119" s="15">
        <f t="shared" si="18"/>
        <v>151335745.07999998</v>
      </c>
      <c r="AQ119" s="15">
        <f t="shared" si="19"/>
        <v>112089214.52</v>
      </c>
      <c r="AU119" s="33"/>
    </row>
    <row r="120" spans="2:48" s="20" customFormat="1" x14ac:dyDescent="0.25">
      <c r="B120" s="28">
        <v>42948</v>
      </c>
      <c r="C120" s="15">
        <v>3470938.23</v>
      </c>
      <c r="D120" s="15">
        <v>0</v>
      </c>
      <c r="E120" s="15">
        <v>5605585.1100000003</v>
      </c>
      <c r="F120" s="15">
        <v>1291656.02</v>
      </c>
      <c r="G120" s="15">
        <f t="shared" si="10"/>
        <v>10368179.359999999</v>
      </c>
      <c r="H120" s="15">
        <v>3351304.66</v>
      </c>
      <c r="I120" s="15">
        <v>662652.71</v>
      </c>
      <c r="J120" s="15">
        <v>1649479.9399999995</v>
      </c>
      <c r="K120" s="15">
        <f t="shared" si="11"/>
        <v>16031616.67</v>
      </c>
      <c r="L120" s="15">
        <v>11737963</v>
      </c>
      <c r="M120" s="15">
        <v>0</v>
      </c>
      <c r="N120" s="15">
        <v>82821661.980000004</v>
      </c>
      <c r="O120" s="15">
        <v>7928326.2599999998</v>
      </c>
      <c r="P120" s="15">
        <v>257262.98</v>
      </c>
      <c r="Q120" s="15">
        <v>972122.78</v>
      </c>
      <c r="R120" s="15">
        <v>711615.52</v>
      </c>
      <c r="S120" s="15">
        <v>453654.22</v>
      </c>
      <c r="T120" s="15">
        <v>0</v>
      </c>
      <c r="U120" s="15">
        <v>0</v>
      </c>
      <c r="V120" s="15">
        <v>0</v>
      </c>
      <c r="W120" s="15">
        <f t="shared" si="12"/>
        <v>93144643.74000001</v>
      </c>
      <c r="X120" s="15">
        <v>0</v>
      </c>
      <c r="Y120" s="15">
        <v>114927.42</v>
      </c>
      <c r="Z120" s="15">
        <v>447076.37</v>
      </c>
      <c r="AA120" s="15">
        <v>0</v>
      </c>
      <c r="AB120" s="15">
        <f t="shared" si="13"/>
        <v>562003.79</v>
      </c>
      <c r="AC120" s="15">
        <v>10731947.310000001</v>
      </c>
      <c r="AD120" s="15">
        <v>28182821.899999999</v>
      </c>
      <c r="AE120" s="15">
        <v>8735051.4000000004</v>
      </c>
      <c r="AF120" s="15">
        <f t="shared" si="14"/>
        <v>47649820.609999999</v>
      </c>
      <c r="AG120" s="15">
        <v>0</v>
      </c>
      <c r="AH120" s="15">
        <v>532494.59000000008</v>
      </c>
      <c r="AI120" s="15">
        <v>0</v>
      </c>
      <c r="AJ120" s="16"/>
      <c r="AK120" s="15">
        <f t="shared" si="15"/>
        <v>27769579.670000002</v>
      </c>
      <c r="AL120" s="17">
        <f t="shared" si="16"/>
        <v>93706647.530000016</v>
      </c>
      <c r="AM120" s="22">
        <v>0</v>
      </c>
      <c r="AN120" s="34"/>
      <c r="AO120" s="15">
        <f t="shared" si="17"/>
        <v>169658542.40000004</v>
      </c>
      <c r="AP120" s="15">
        <f t="shared" si="18"/>
        <v>169658542.40000004</v>
      </c>
      <c r="AQ120" s="15">
        <f t="shared" si="19"/>
        <v>121476227.20000002</v>
      </c>
      <c r="AU120" s="33"/>
      <c r="AV120" s="33"/>
    </row>
    <row r="121" spans="2:48" s="20" customFormat="1" x14ac:dyDescent="0.25">
      <c r="B121" s="29">
        <v>42979</v>
      </c>
      <c r="C121" s="15">
        <v>1529671.45</v>
      </c>
      <c r="D121" s="15">
        <v>0</v>
      </c>
      <c r="E121" s="15">
        <v>3382403.89</v>
      </c>
      <c r="F121" s="15">
        <v>370434.6</v>
      </c>
      <c r="G121" s="15">
        <f t="shared" si="10"/>
        <v>5282509.9399999995</v>
      </c>
      <c r="H121" s="15">
        <v>3325130.68</v>
      </c>
      <c r="I121" s="15">
        <v>384876.21</v>
      </c>
      <c r="J121" s="15">
        <v>1042812.1699999999</v>
      </c>
      <c r="K121" s="15">
        <f t="shared" si="11"/>
        <v>10035329</v>
      </c>
      <c r="L121" s="15">
        <v>10003359.65</v>
      </c>
      <c r="M121" s="15">
        <v>0</v>
      </c>
      <c r="N121" s="15">
        <v>72736374.859999999</v>
      </c>
      <c r="O121" s="15">
        <v>9348375.7400000002</v>
      </c>
      <c r="P121" s="15">
        <v>257262.98</v>
      </c>
      <c r="Q121" s="15">
        <v>970406.05</v>
      </c>
      <c r="R121" s="15">
        <v>669714.4</v>
      </c>
      <c r="S121" s="15">
        <v>476946.9</v>
      </c>
      <c r="T121" s="15">
        <v>0</v>
      </c>
      <c r="U121" s="15">
        <v>0</v>
      </c>
      <c r="V121" s="15">
        <v>0</v>
      </c>
      <c r="W121" s="15">
        <f t="shared" si="12"/>
        <v>84459080.930000007</v>
      </c>
      <c r="X121" s="15">
        <v>0</v>
      </c>
      <c r="Y121" s="15">
        <v>114927.42</v>
      </c>
      <c r="Z121" s="15">
        <v>411087.4</v>
      </c>
      <c r="AA121" s="15">
        <v>0</v>
      </c>
      <c r="AB121" s="15">
        <f t="shared" si="13"/>
        <v>526014.82000000007</v>
      </c>
      <c r="AC121" s="15">
        <v>10731947.310000001</v>
      </c>
      <c r="AD121" s="15">
        <v>28182821.899999999</v>
      </c>
      <c r="AE121" s="15">
        <v>1402780.18</v>
      </c>
      <c r="AF121" s="15">
        <f t="shared" si="14"/>
        <v>40317549.390000001</v>
      </c>
      <c r="AG121" s="15">
        <v>0</v>
      </c>
      <c r="AH121" s="15">
        <v>560283.09</v>
      </c>
      <c r="AI121" s="15">
        <v>0</v>
      </c>
      <c r="AJ121" s="16"/>
      <c r="AK121" s="15">
        <f t="shared" si="15"/>
        <v>20038688.649999999</v>
      </c>
      <c r="AL121" s="17">
        <f t="shared" si="16"/>
        <v>84985095.75</v>
      </c>
      <c r="AM121" s="22">
        <v>-0.59</v>
      </c>
      <c r="AN121" s="34"/>
      <c r="AO121" s="15">
        <f t="shared" si="17"/>
        <v>145901616.28999999</v>
      </c>
      <c r="AP121" s="15">
        <f t="shared" si="18"/>
        <v>145901616.88</v>
      </c>
      <c r="AQ121" s="15">
        <f t="shared" si="19"/>
        <v>105023784.40000001</v>
      </c>
      <c r="AU121" s="33"/>
      <c r="AV121" s="33"/>
    </row>
    <row r="122" spans="2:48" s="20" customFormat="1" x14ac:dyDescent="0.25">
      <c r="B122" s="30">
        <v>43009</v>
      </c>
      <c r="C122" s="15">
        <v>2419395.09</v>
      </c>
      <c r="D122" s="15">
        <v>30052265</v>
      </c>
      <c r="E122" s="15">
        <v>3964296.49</v>
      </c>
      <c r="F122" s="15">
        <v>4487579.22</v>
      </c>
      <c r="G122" s="15">
        <f t="shared" si="10"/>
        <v>40923535.799999997</v>
      </c>
      <c r="H122" s="15">
        <v>2876096.14</v>
      </c>
      <c r="I122" s="15">
        <v>414131.62000000104</v>
      </c>
      <c r="J122" s="15">
        <v>1201978.5700000003</v>
      </c>
      <c r="K122" s="15">
        <f t="shared" si="11"/>
        <v>45415742.130000003</v>
      </c>
      <c r="L122" s="15">
        <v>8170514</v>
      </c>
      <c r="M122" s="15">
        <v>0</v>
      </c>
      <c r="N122" s="15">
        <v>45624417.440000005</v>
      </c>
      <c r="O122" s="15">
        <v>7169578.6200000001</v>
      </c>
      <c r="P122" s="15">
        <v>257262.98</v>
      </c>
      <c r="Q122" s="15">
        <v>0</v>
      </c>
      <c r="R122" s="15">
        <v>706828.35</v>
      </c>
      <c r="S122" s="15">
        <v>488226.9</v>
      </c>
      <c r="T122" s="15">
        <v>0</v>
      </c>
      <c r="U122" s="15">
        <v>0</v>
      </c>
      <c r="V122" s="15">
        <v>2730359.7600000002</v>
      </c>
      <c r="W122" s="15">
        <f t="shared" si="12"/>
        <v>56976674.049999997</v>
      </c>
      <c r="X122" s="15">
        <v>0</v>
      </c>
      <c r="Y122" s="15">
        <v>114927.42</v>
      </c>
      <c r="Z122" s="15">
        <v>447248.14999999991</v>
      </c>
      <c r="AA122" s="15">
        <v>0</v>
      </c>
      <c r="AB122" s="15">
        <f t="shared" si="13"/>
        <v>562175.56999999995</v>
      </c>
      <c r="AC122" s="15">
        <v>10731947.310000001</v>
      </c>
      <c r="AD122" s="15">
        <v>28182821.899999999</v>
      </c>
      <c r="AE122" s="15">
        <v>13576620.859999999</v>
      </c>
      <c r="AF122" s="15">
        <f t="shared" si="14"/>
        <v>52491390.07</v>
      </c>
      <c r="AG122" s="15">
        <v>0</v>
      </c>
      <c r="AH122" s="15">
        <v>337323.11</v>
      </c>
      <c r="AI122" s="15">
        <v>0</v>
      </c>
      <c r="AJ122" s="16"/>
      <c r="AK122" s="15">
        <f t="shared" si="15"/>
        <v>53586256.130000003</v>
      </c>
      <c r="AL122" s="17">
        <f t="shared" si="16"/>
        <v>57538849.619999997</v>
      </c>
      <c r="AM122" s="22">
        <v>-20898</v>
      </c>
      <c r="AN122" s="34"/>
      <c r="AO122" s="15">
        <f t="shared" si="17"/>
        <v>163932920.93000001</v>
      </c>
      <c r="AP122" s="15">
        <f t="shared" si="18"/>
        <v>163953818.93000001</v>
      </c>
      <c r="AQ122" s="15">
        <f t="shared" si="19"/>
        <v>111125105.75</v>
      </c>
      <c r="AU122" s="33"/>
      <c r="AV122" s="33"/>
    </row>
    <row r="123" spans="2:48" s="20" customFormat="1" x14ac:dyDescent="0.25">
      <c r="B123" s="31">
        <v>43040</v>
      </c>
      <c r="C123" s="15">
        <v>33795412.450000003</v>
      </c>
      <c r="D123" s="15">
        <v>0</v>
      </c>
      <c r="E123" s="15">
        <v>4549574.8499999996</v>
      </c>
      <c r="F123" s="15">
        <v>96677.89</v>
      </c>
      <c r="G123" s="15">
        <f t="shared" si="10"/>
        <v>38441665.190000005</v>
      </c>
      <c r="H123" s="15">
        <v>3784051.08</v>
      </c>
      <c r="I123" s="15">
        <v>13380997.640000001</v>
      </c>
      <c r="J123" s="15">
        <v>1083400.69</v>
      </c>
      <c r="K123" s="15">
        <f t="shared" si="11"/>
        <v>56690114.600000001</v>
      </c>
      <c r="L123" s="15">
        <v>0</v>
      </c>
      <c r="M123" s="15">
        <v>0</v>
      </c>
      <c r="N123" s="15">
        <v>67192746.780000001</v>
      </c>
      <c r="O123" s="15">
        <v>3274734.83</v>
      </c>
      <c r="P123" s="15">
        <v>257262.98</v>
      </c>
      <c r="Q123" s="15">
        <v>887534.39</v>
      </c>
      <c r="R123" s="15">
        <v>611549.03</v>
      </c>
      <c r="S123" s="15">
        <v>428038.48</v>
      </c>
      <c r="T123" s="15">
        <v>0</v>
      </c>
      <c r="U123" s="15">
        <v>0</v>
      </c>
      <c r="V123" s="15">
        <v>83148.56</v>
      </c>
      <c r="W123" s="15">
        <f t="shared" si="12"/>
        <v>72735015.050000012</v>
      </c>
      <c r="X123" s="15">
        <v>0</v>
      </c>
      <c r="Y123" s="15">
        <v>114927.42</v>
      </c>
      <c r="Z123" s="15">
        <v>336079.88</v>
      </c>
      <c r="AA123" s="15">
        <v>0</v>
      </c>
      <c r="AB123" s="15">
        <f t="shared" si="13"/>
        <v>451007.3</v>
      </c>
      <c r="AC123" s="15">
        <v>10731947.27</v>
      </c>
      <c r="AD123" s="15">
        <v>28182821.899999999</v>
      </c>
      <c r="AE123" s="15">
        <v>19900000</v>
      </c>
      <c r="AF123" s="15">
        <f t="shared" si="14"/>
        <v>58814769.170000002</v>
      </c>
      <c r="AG123" s="15">
        <v>0</v>
      </c>
      <c r="AH123" s="15">
        <v>449632.1</v>
      </c>
      <c r="AI123" s="15">
        <v>0</v>
      </c>
      <c r="AJ123" s="16"/>
      <c r="AK123" s="15">
        <f t="shared" si="15"/>
        <v>56690114.600000001</v>
      </c>
      <c r="AL123" s="17">
        <f t="shared" si="16"/>
        <v>73186022.350000009</v>
      </c>
      <c r="AM123" s="22">
        <v>-273101.95</v>
      </c>
      <c r="AN123" s="34"/>
      <c r="AO123" s="15">
        <f t="shared" si="17"/>
        <v>188867436.27000004</v>
      </c>
      <c r="AP123" s="15">
        <f t="shared" si="18"/>
        <v>189140538.22000003</v>
      </c>
      <c r="AQ123" s="15">
        <f t="shared" si="19"/>
        <v>129876136.95000002</v>
      </c>
      <c r="AU123" s="33"/>
      <c r="AV123" s="33"/>
    </row>
    <row r="124" spans="2:48" s="20" customFormat="1" x14ac:dyDescent="0.25">
      <c r="B124" s="32">
        <v>43070</v>
      </c>
      <c r="C124" s="15">
        <v>7400602.4500000002</v>
      </c>
      <c r="D124" s="15">
        <v>0</v>
      </c>
      <c r="E124" s="15">
        <v>7701134.6399999997</v>
      </c>
      <c r="F124" s="15">
        <v>548782.82999999996</v>
      </c>
      <c r="G124" s="15">
        <f t="shared" si="10"/>
        <v>15650519.92</v>
      </c>
      <c r="H124" s="15">
        <v>3904900.41</v>
      </c>
      <c r="I124" s="15">
        <v>388405.94</v>
      </c>
      <c r="J124" s="15">
        <v>1283971.5599999996</v>
      </c>
      <c r="K124" s="15">
        <f t="shared" si="11"/>
        <v>21227797.829999998</v>
      </c>
      <c r="L124" s="15">
        <v>3960891</v>
      </c>
      <c r="M124" s="15">
        <v>0</v>
      </c>
      <c r="N124" s="15">
        <v>70135447.620000005</v>
      </c>
      <c r="O124" s="15">
        <v>13073094.289999999</v>
      </c>
      <c r="P124" s="15">
        <v>257262.98</v>
      </c>
      <c r="Q124" s="15">
        <v>986099.32</v>
      </c>
      <c r="R124" s="15">
        <v>1215726.6499999999</v>
      </c>
      <c r="S124" s="15">
        <v>479523.9</v>
      </c>
      <c r="T124" s="15">
        <v>0</v>
      </c>
      <c r="U124" s="15">
        <v>0</v>
      </c>
      <c r="V124" s="15">
        <v>0</v>
      </c>
      <c r="W124" s="15">
        <f t="shared" si="12"/>
        <v>86147154.760000005</v>
      </c>
      <c r="X124" s="15">
        <v>0</v>
      </c>
      <c r="Y124" s="15">
        <v>114927.42</v>
      </c>
      <c r="Z124" s="15">
        <v>458620.41</v>
      </c>
      <c r="AA124" s="15">
        <v>0</v>
      </c>
      <c r="AB124" s="15">
        <f t="shared" si="13"/>
        <v>573547.82999999996</v>
      </c>
      <c r="AC124" s="15">
        <v>0</v>
      </c>
      <c r="AD124" s="15">
        <v>56365644.990000002</v>
      </c>
      <c r="AE124" s="15">
        <f>2575280.18</f>
        <v>2575280.1800000002</v>
      </c>
      <c r="AF124" s="15">
        <f t="shared" si="14"/>
        <v>58940925.170000002</v>
      </c>
      <c r="AG124" s="15">
        <v>0</v>
      </c>
      <c r="AH124" s="15">
        <v>340097.47</v>
      </c>
      <c r="AI124" s="15">
        <v>100000000</v>
      </c>
      <c r="AJ124" s="16"/>
      <c r="AK124" s="15">
        <f t="shared" si="15"/>
        <v>25188688.829999998</v>
      </c>
      <c r="AL124" s="17">
        <f t="shared" si="16"/>
        <v>86720702.590000004</v>
      </c>
      <c r="AM124" s="22">
        <v>-162599.59</v>
      </c>
      <c r="AN124" s="34"/>
      <c r="AO124" s="15">
        <f t="shared" si="17"/>
        <v>271027814.46999997</v>
      </c>
      <c r="AP124" s="15">
        <f t="shared" si="18"/>
        <v>171190414.05999994</v>
      </c>
      <c r="AQ124" s="15">
        <f t="shared" si="19"/>
        <v>111909391.42</v>
      </c>
      <c r="AU124" s="33"/>
      <c r="AV124" s="33"/>
    </row>
    <row r="125" spans="2:48" s="20" customFormat="1" x14ac:dyDescent="0.25">
      <c r="B125" s="14">
        <v>43101</v>
      </c>
      <c r="C125" s="15">
        <v>82388733.040000007</v>
      </c>
      <c r="D125" s="15">
        <v>0</v>
      </c>
      <c r="E125" s="15">
        <v>59961875.579999998</v>
      </c>
      <c r="F125" s="15">
        <v>2123432.6500000004</v>
      </c>
      <c r="G125" s="15">
        <f t="shared" si="10"/>
        <v>144474041.27000001</v>
      </c>
      <c r="H125" s="15">
        <v>4882931.09</v>
      </c>
      <c r="I125" s="15">
        <v>253146.53</v>
      </c>
      <c r="J125" s="15">
        <v>1096748.3899999999</v>
      </c>
      <c r="K125" s="15">
        <f t="shared" si="11"/>
        <v>150706867.28</v>
      </c>
      <c r="L125" s="15">
        <v>0</v>
      </c>
      <c r="M125" s="15">
        <v>0</v>
      </c>
      <c r="N125" s="15">
        <v>38876150.469999999</v>
      </c>
      <c r="O125" s="15">
        <v>9022102.6899999995</v>
      </c>
      <c r="P125" s="15">
        <v>257262.96999999997</v>
      </c>
      <c r="Q125" s="15">
        <v>1081866.27</v>
      </c>
      <c r="R125" s="15">
        <v>494531.69</v>
      </c>
      <c r="S125" s="15">
        <v>751624.61</v>
      </c>
      <c r="T125" s="15">
        <v>0</v>
      </c>
      <c r="U125" s="15">
        <v>0</v>
      </c>
      <c r="V125" s="15">
        <v>144387.82</v>
      </c>
      <c r="W125" s="15">
        <f t="shared" si="12"/>
        <v>50627926.519999996</v>
      </c>
      <c r="X125" s="15">
        <v>4670.3500000000004</v>
      </c>
      <c r="Y125" s="15">
        <v>127747.21</v>
      </c>
      <c r="Z125" s="15">
        <v>565918.85</v>
      </c>
      <c r="AA125" s="15">
        <v>0</v>
      </c>
      <c r="AB125" s="15">
        <f t="shared" si="13"/>
        <v>698336.40999999992</v>
      </c>
      <c r="AC125" s="15">
        <v>0</v>
      </c>
      <c r="AD125" s="15">
        <v>0</v>
      </c>
      <c r="AE125" s="15">
        <v>0</v>
      </c>
      <c r="AF125" s="15">
        <f t="shared" si="14"/>
        <v>0</v>
      </c>
      <c r="AG125" s="15">
        <v>0</v>
      </c>
      <c r="AH125" s="15">
        <v>220074.08000000002</v>
      </c>
      <c r="AI125" s="15">
        <v>0</v>
      </c>
      <c r="AJ125" s="16"/>
      <c r="AK125" s="15">
        <f t="shared" si="15"/>
        <v>150706867.28</v>
      </c>
      <c r="AL125" s="17">
        <f t="shared" si="16"/>
        <v>51326262.929999992</v>
      </c>
      <c r="AM125" s="22">
        <v>-170368.71</v>
      </c>
      <c r="AN125" s="34"/>
      <c r="AO125" s="15">
        <f t="shared" si="17"/>
        <v>202082835.58000001</v>
      </c>
      <c r="AP125" s="15">
        <f t="shared" si="18"/>
        <v>202253204.29000002</v>
      </c>
      <c r="AQ125" s="15">
        <f t="shared" si="19"/>
        <v>202033130.20999998</v>
      </c>
    </row>
    <row r="126" spans="2:48" s="20" customFormat="1" x14ac:dyDescent="0.25">
      <c r="B126" s="21">
        <v>43132</v>
      </c>
      <c r="C126" s="15">
        <v>12463732.779999999</v>
      </c>
      <c r="D126" s="15">
        <v>0</v>
      </c>
      <c r="E126" s="15">
        <v>5755486.3700000001</v>
      </c>
      <c r="F126" s="15">
        <v>1028520.02</v>
      </c>
      <c r="G126" s="15">
        <f t="shared" si="10"/>
        <v>19247739.169999998</v>
      </c>
      <c r="H126" s="15">
        <v>3663350.71</v>
      </c>
      <c r="I126" s="15">
        <v>502706.14</v>
      </c>
      <c r="J126" s="15">
        <v>1274376.3199999998</v>
      </c>
      <c r="K126" s="15">
        <f t="shared" si="11"/>
        <v>24688172.34</v>
      </c>
      <c r="L126" s="15">
        <v>2155952</v>
      </c>
      <c r="M126" s="15">
        <v>0</v>
      </c>
      <c r="N126" s="15">
        <v>152807632.56999999</v>
      </c>
      <c r="O126" s="15">
        <v>15000164.99</v>
      </c>
      <c r="P126" s="15">
        <v>257262.97</v>
      </c>
      <c r="Q126" s="15">
        <v>1121103.56</v>
      </c>
      <c r="R126" s="15">
        <v>497242.74</v>
      </c>
      <c r="S126" s="15">
        <v>0</v>
      </c>
      <c r="T126" s="15">
        <v>848786.62</v>
      </c>
      <c r="U126" s="15">
        <v>0</v>
      </c>
      <c r="V126" s="15">
        <v>0</v>
      </c>
      <c r="W126" s="15">
        <f t="shared" si="12"/>
        <v>170532193.45000002</v>
      </c>
      <c r="X126" s="15">
        <v>0</v>
      </c>
      <c r="Y126" s="15">
        <v>127747.21</v>
      </c>
      <c r="Z126" s="15">
        <v>825164.02</v>
      </c>
      <c r="AA126" s="15">
        <v>0</v>
      </c>
      <c r="AB126" s="15">
        <f t="shared" si="13"/>
        <v>952911.23</v>
      </c>
      <c r="AC126" s="15">
        <v>12967675.029999999</v>
      </c>
      <c r="AD126" s="15">
        <v>30561034.82</v>
      </c>
      <c r="AE126" s="15">
        <v>0</v>
      </c>
      <c r="AF126" s="15">
        <f t="shared" si="14"/>
        <v>43528709.850000001</v>
      </c>
      <c r="AG126" s="15">
        <v>0</v>
      </c>
      <c r="AH126" s="15">
        <v>46149.770000000004</v>
      </c>
      <c r="AI126" s="15">
        <v>0</v>
      </c>
      <c r="AJ126" s="16"/>
      <c r="AK126" s="15">
        <f t="shared" si="15"/>
        <v>26844124.34</v>
      </c>
      <c r="AL126" s="17">
        <f t="shared" si="16"/>
        <v>171485104.68000001</v>
      </c>
      <c r="AM126" s="22">
        <v>0</v>
      </c>
      <c r="AN126" s="34"/>
      <c r="AO126" s="15">
        <f t="shared" si="17"/>
        <v>241904088.64000002</v>
      </c>
      <c r="AP126" s="15">
        <f t="shared" si="18"/>
        <v>241904088.64000002</v>
      </c>
      <c r="AQ126" s="15">
        <f t="shared" si="19"/>
        <v>198329229.02000001</v>
      </c>
    </row>
    <row r="127" spans="2:48" s="20" customFormat="1" x14ac:dyDescent="0.25">
      <c r="B127" s="23">
        <v>43160</v>
      </c>
      <c r="C127" s="15">
        <v>8490128.2899999991</v>
      </c>
      <c r="D127" s="15">
        <v>0</v>
      </c>
      <c r="E127" s="15">
        <v>3652915.35</v>
      </c>
      <c r="F127" s="15">
        <v>533170.75</v>
      </c>
      <c r="G127" s="15">
        <f t="shared" si="10"/>
        <v>12676214.389999999</v>
      </c>
      <c r="H127" s="15">
        <v>3987269.17</v>
      </c>
      <c r="I127" s="15">
        <v>322216.73</v>
      </c>
      <c r="J127" s="15">
        <v>1541174.5199999996</v>
      </c>
      <c r="K127" s="15">
        <f t="shared" si="11"/>
        <v>18526874.809999999</v>
      </c>
      <c r="L127" s="15">
        <v>14691301</v>
      </c>
      <c r="M127" s="15">
        <v>0</v>
      </c>
      <c r="N127" s="15">
        <v>82870308.269999996</v>
      </c>
      <c r="O127" s="15">
        <v>9888676.9500000011</v>
      </c>
      <c r="P127" s="15">
        <v>257262.97</v>
      </c>
      <c r="Q127" s="15">
        <v>1117760.3500000001</v>
      </c>
      <c r="R127" s="15">
        <v>729058.99</v>
      </c>
      <c r="S127" s="15">
        <v>1686163.72</v>
      </c>
      <c r="T127" s="15">
        <v>-848786.62</v>
      </c>
      <c r="U127" s="15">
        <v>0</v>
      </c>
      <c r="V127" s="15">
        <v>5027891.17</v>
      </c>
      <c r="W127" s="15">
        <f t="shared" si="12"/>
        <v>100728335.79999998</v>
      </c>
      <c r="X127" s="15">
        <v>0</v>
      </c>
      <c r="Y127" s="15">
        <v>127747.21</v>
      </c>
      <c r="Z127" s="15">
        <v>521168.38</v>
      </c>
      <c r="AA127" s="15">
        <v>0</v>
      </c>
      <c r="AB127" s="15">
        <f t="shared" si="13"/>
        <v>648915.59</v>
      </c>
      <c r="AC127" s="15">
        <v>12967675.029999999</v>
      </c>
      <c r="AD127" s="15">
        <v>30561034.82</v>
      </c>
      <c r="AE127" s="15">
        <v>0</v>
      </c>
      <c r="AF127" s="15">
        <f t="shared" si="14"/>
        <v>43528709.850000001</v>
      </c>
      <c r="AG127" s="15">
        <v>0</v>
      </c>
      <c r="AH127" s="15">
        <v>149767.96000000002</v>
      </c>
      <c r="AI127" s="15">
        <v>86771.44</v>
      </c>
      <c r="AJ127" s="16"/>
      <c r="AK127" s="15">
        <f t="shared" si="15"/>
        <v>33218175.809999999</v>
      </c>
      <c r="AL127" s="17">
        <f t="shared" si="16"/>
        <v>101377251.38999999</v>
      </c>
      <c r="AM127" s="22">
        <v>-4466.42</v>
      </c>
      <c r="AN127" s="34"/>
      <c r="AO127" s="15">
        <f t="shared" si="17"/>
        <v>178356210.03</v>
      </c>
      <c r="AP127" s="15">
        <f t="shared" si="18"/>
        <v>178273905.00999999</v>
      </c>
      <c r="AQ127" s="15">
        <f t="shared" si="19"/>
        <v>134595427.19999999</v>
      </c>
    </row>
    <row r="128" spans="2:48" s="20" customFormat="1" x14ac:dyDescent="0.25">
      <c r="B128" s="24">
        <v>43191</v>
      </c>
      <c r="C128" s="15">
        <v>4455155.5599999996</v>
      </c>
      <c r="D128" s="15">
        <v>0</v>
      </c>
      <c r="E128" s="15">
        <v>5488178.1500000004</v>
      </c>
      <c r="F128" s="15">
        <v>488035.76</v>
      </c>
      <c r="G128" s="15">
        <f t="shared" si="10"/>
        <v>10431369.470000001</v>
      </c>
      <c r="H128" s="15">
        <v>4264095.1100000003</v>
      </c>
      <c r="I128" s="15">
        <v>1028562.88</v>
      </c>
      <c r="J128" s="15">
        <v>1331643.5799999982</v>
      </c>
      <c r="K128" s="15">
        <f t="shared" si="11"/>
        <v>17055671.039999999</v>
      </c>
      <c r="L128" s="15">
        <v>27918875</v>
      </c>
      <c r="M128" s="15">
        <v>0</v>
      </c>
      <c r="N128" s="15">
        <v>33148123.300000001</v>
      </c>
      <c r="O128" s="15">
        <v>0</v>
      </c>
      <c r="P128" s="15">
        <v>0</v>
      </c>
      <c r="Q128" s="15">
        <v>977785.49</v>
      </c>
      <c r="R128" s="15">
        <v>0</v>
      </c>
      <c r="S128" s="15">
        <v>775958.85</v>
      </c>
      <c r="T128" s="15">
        <v>0</v>
      </c>
      <c r="U128" s="15">
        <v>0</v>
      </c>
      <c r="V128" s="15">
        <v>0</v>
      </c>
      <c r="W128" s="15">
        <f t="shared" si="12"/>
        <v>34901867.640000001</v>
      </c>
      <c r="X128" s="15">
        <v>0</v>
      </c>
      <c r="Y128" s="15">
        <v>0</v>
      </c>
      <c r="Z128" s="15">
        <v>459677.67</v>
      </c>
      <c r="AA128" s="15">
        <v>0</v>
      </c>
      <c r="AB128" s="15">
        <f t="shared" si="13"/>
        <v>459677.67</v>
      </c>
      <c r="AC128" s="15">
        <v>12967675.029999999</v>
      </c>
      <c r="AD128" s="15">
        <v>30561034.82</v>
      </c>
      <c r="AE128" s="15">
        <v>0</v>
      </c>
      <c r="AF128" s="15">
        <f t="shared" si="14"/>
        <v>43528709.850000001</v>
      </c>
      <c r="AG128" s="15">
        <v>0</v>
      </c>
      <c r="AH128" s="15">
        <v>193388.26</v>
      </c>
      <c r="AI128" s="15">
        <v>0</v>
      </c>
      <c r="AJ128" s="16"/>
      <c r="AK128" s="15">
        <f t="shared" si="15"/>
        <v>44974546.039999999</v>
      </c>
      <c r="AL128" s="17">
        <f t="shared" si="16"/>
        <v>35361545.310000002</v>
      </c>
      <c r="AM128" s="22">
        <v>-2401</v>
      </c>
      <c r="AN128" s="34"/>
      <c r="AO128" s="15">
        <f t="shared" si="17"/>
        <v>124055788.46000001</v>
      </c>
      <c r="AP128" s="15">
        <f t="shared" si="18"/>
        <v>124058189.46000001</v>
      </c>
      <c r="AQ128" s="15">
        <f t="shared" si="19"/>
        <v>80336091.349999994</v>
      </c>
    </row>
    <row r="129" spans="2:47" s="20" customFormat="1" x14ac:dyDescent="0.25">
      <c r="B129" s="25">
        <v>43221</v>
      </c>
      <c r="C129" s="15">
        <v>4068097.9</v>
      </c>
      <c r="D129" s="15">
        <v>0</v>
      </c>
      <c r="E129" s="15">
        <v>5953960.4100000001</v>
      </c>
      <c r="F129" s="15">
        <v>487807.91000000003</v>
      </c>
      <c r="G129" s="15">
        <f t="shared" si="10"/>
        <v>10509866.220000001</v>
      </c>
      <c r="H129" s="15">
        <v>3992247.62</v>
      </c>
      <c r="I129" s="15">
        <v>5082851.04</v>
      </c>
      <c r="J129" s="15">
        <v>1088163.8600000003</v>
      </c>
      <c r="K129" s="15">
        <f t="shared" si="11"/>
        <v>20673128.739999998</v>
      </c>
      <c r="L129" s="15">
        <v>6462315</v>
      </c>
      <c r="M129" s="15">
        <v>0</v>
      </c>
      <c r="N129" s="15">
        <v>170335939.66999999</v>
      </c>
      <c r="O129" s="15">
        <v>11422971.140000001</v>
      </c>
      <c r="P129" s="15">
        <v>514525.94</v>
      </c>
      <c r="Q129" s="15">
        <v>1115605.83</v>
      </c>
      <c r="R129" s="15">
        <v>1173240.57</v>
      </c>
      <c r="S129" s="15">
        <v>862511.83</v>
      </c>
      <c r="T129" s="15">
        <v>0</v>
      </c>
      <c r="U129" s="15">
        <v>0</v>
      </c>
      <c r="V129" s="15">
        <v>368556.95999999996</v>
      </c>
      <c r="W129" s="15">
        <f t="shared" si="12"/>
        <v>185793351.94000003</v>
      </c>
      <c r="X129" s="15">
        <v>0</v>
      </c>
      <c r="Y129" s="15">
        <v>255494.42</v>
      </c>
      <c r="Z129" s="15">
        <v>542473.29</v>
      </c>
      <c r="AA129" s="15">
        <v>0</v>
      </c>
      <c r="AB129" s="15">
        <f t="shared" si="13"/>
        <v>797967.71000000008</v>
      </c>
      <c r="AC129" s="15">
        <v>12967675.029999999</v>
      </c>
      <c r="AD129" s="15">
        <v>61122069.640000001</v>
      </c>
      <c r="AE129" s="15">
        <v>0</v>
      </c>
      <c r="AF129" s="15">
        <f t="shared" si="14"/>
        <v>74089744.670000002</v>
      </c>
      <c r="AG129" s="15">
        <v>0</v>
      </c>
      <c r="AH129" s="15">
        <v>296736.96999999997</v>
      </c>
      <c r="AI129" s="35">
        <v>20681786.600000001</v>
      </c>
      <c r="AJ129" s="16"/>
      <c r="AK129" s="15">
        <f t="shared" si="15"/>
        <v>27135443.739999998</v>
      </c>
      <c r="AL129" s="17">
        <f t="shared" si="16"/>
        <v>186591319.65000004</v>
      </c>
      <c r="AM129" s="22">
        <v>-17263.32</v>
      </c>
      <c r="AN129" s="34"/>
      <c r="AO129" s="15">
        <f t="shared" si="17"/>
        <v>308777768.31000006</v>
      </c>
      <c r="AP129" s="15">
        <f t="shared" si="18"/>
        <v>288113245.03000003</v>
      </c>
      <c r="AQ129" s="15">
        <f t="shared" si="19"/>
        <v>213726763.39000005</v>
      </c>
    </row>
    <row r="130" spans="2:47" s="20" customFormat="1" x14ac:dyDescent="0.25">
      <c r="B130" s="26">
        <v>43252</v>
      </c>
      <c r="C130" s="15">
        <v>3086820.9</v>
      </c>
      <c r="D130" s="15">
        <v>29279214</v>
      </c>
      <c r="E130" s="15">
        <v>6572431.5300000003</v>
      </c>
      <c r="F130" s="15">
        <v>50275.920000001788</v>
      </c>
      <c r="G130" s="15">
        <f t="shared" si="10"/>
        <v>38988742.350000001</v>
      </c>
      <c r="H130" s="15">
        <v>3789562.61</v>
      </c>
      <c r="I130" s="15">
        <v>494461.46</v>
      </c>
      <c r="J130" s="15">
        <v>944069.69</v>
      </c>
      <c r="K130" s="15">
        <f t="shared" si="11"/>
        <v>44216836.109999999</v>
      </c>
      <c r="L130" s="15">
        <v>0</v>
      </c>
      <c r="M130" s="15">
        <v>0</v>
      </c>
      <c r="N130" s="15">
        <v>102762967.12</v>
      </c>
      <c r="O130" s="15">
        <v>23650142.390000001</v>
      </c>
      <c r="P130" s="15">
        <v>257262.97</v>
      </c>
      <c r="Q130" s="15">
        <v>1108441.5899999999</v>
      </c>
      <c r="R130" s="15">
        <v>158392.53</v>
      </c>
      <c r="S130" s="15">
        <v>859114.55</v>
      </c>
      <c r="T130" s="15">
        <v>0</v>
      </c>
      <c r="U130" s="15">
        <v>0</v>
      </c>
      <c r="V130" s="15">
        <v>18185183.52</v>
      </c>
      <c r="W130" s="15">
        <f t="shared" si="12"/>
        <v>146981504.67000002</v>
      </c>
      <c r="X130" s="15">
        <v>0</v>
      </c>
      <c r="Y130" s="15">
        <v>127747.21</v>
      </c>
      <c r="Z130" s="15">
        <v>503629.37</v>
      </c>
      <c r="AA130" s="15">
        <v>0</v>
      </c>
      <c r="AB130" s="15">
        <f t="shared" si="13"/>
        <v>631376.57999999996</v>
      </c>
      <c r="AC130" s="15">
        <v>12967675.029999999</v>
      </c>
      <c r="AD130" s="15">
        <v>30561034.82</v>
      </c>
      <c r="AE130" s="35">
        <v>0</v>
      </c>
      <c r="AF130" s="15">
        <f t="shared" si="14"/>
        <v>43528709.850000001</v>
      </c>
      <c r="AG130" s="15">
        <v>0</v>
      </c>
      <c r="AH130" s="15">
        <v>83874.73</v>
      </c>
      <c r="AI130" s="15">
        <v>0</v>
      </c>
      <c r="AJ130" s="16"/>
      <c r="AK130" s="15">
        <f t="shared" si="15"/>
        <v>44216836.109999999</v>
      </c>
      <c r="AL130" s="17">
        <f t="shared" si="16"/>
        <v>147612881.25000003</v>
      </c>
      <c r="AM130" s="22">
        <v>-582</v>
      </c>
      <c r="AN130" s="34"/>
      <c r="AO130" s="15">
        <f t="shared" si="17"/>
        <v>235441719.94000003</v>
      </c>
      <c r="AP130" s="15">
        <f t="shared" si="18"/>
        <v>235442301.94000003</v>
      </c>
      <c r="AQ130" s="15">
        <f t="shared" si="19"/>
        <v>191829717.36000001</v>
      </c>
    </row>
    <row r="131" spans="2:47" s="20" customFormat="1" x14ac:dyDescent="0.25">
      <c r="B131" s="27">
        <v>43282</v>
      </c>
      <c r="C131" s="15">
        <v>3110528.25</v>
      </c>
      <c r="D131" s="15">
        <v>0</v>
      </c>
      <c r="E131" s="15">
        <v>6535703.1799999997</v>
      </c>
      <c r="F131" s="15">
        <v>92641.600000000006</v>
      </c>
      <c r="G131" s="15">
        <f t="shared" si="10"/>
        <v>9738873.0299999993</v>
      </c>
      <c r="H131" s="15">
        <v>3510802.79</v>
      </c>
      <c r="I131" s="15">
        <v>1282233.06</v>
      </c>
      <c r="J131" s="15">
        <v>1240093.56</v>
      </c>
      <c r="K131" s="15">
        <f t="shared" si="11"/>
        <v>15772002.440000001</v>
      </c>
      <c r="L131" s="15">
        <v>0</v>
      </c>
      <c r="M131" s="15">
        <v>0</v>
      </c>
      <c r="N131" s="15">
        <v>93454679.689999998</v>
      </c>
      <c r="O131" s="15">
        <v>11535202.220000001</v>
      </c>
      <c r="P131" s="15">
        <v>257262.96999999997</v>
      </c>
      <c r="Q131" s="15">
        <v>1144214.26</v>
      </c>
      <c r="R131" s="15">
        <v>640987.68999999994</v>
      </c>
      <c r="S131" s="15">
        <v>853206.48</v>
      </c>
      <c r="T131" s="15">
        <v>0</v>
      </c>
      <c r="U131" s="15">
        <v>0</v>
      </c>
      <c r="V131" s="15">
        <v>307373.51</v>
      </c>
      <c r="W131" s="15">
        <f t="shared" si="12"/>
        <v>108192926.82000001</v>
      </c>
      <c r="X131" s="15">
        <v>821.24</v>
      </c>
      <c r="Y131" s="15">
        <v>127747.21</v>
      </c>
      <c r="Z131" s="15">
        <v>590801.23</v>
      </c>
      <c r="AA131" s="15">
        <v>0</v>
      </c>
      <c r="AB131" s="15">
        <f t="shared" si="13"/>
        <v>719369.67999999993</v>
      </c>
      <c r="AC131" s="15">
        <v>12967675.029999999</v>
      </c>
      <c r="AD131" s="15">
        <v>30561034.82</v>
      </c>
      <c r="AE131" s="35">
        <v>200000</v>
      </c>
      <c r="AF131" s="15">
        <f t="shared" si="14"/>
        <v>43728709.850000001</v>
      </c>
      <c r="AG131" s="15">
        <v>0</v>
      </c>
      <c r="AH131" s="15">
        <v>303111.32999999996</v>
      </c>
      <c r="AI131" s="15">
        <v>0</v>
      </c>
      <c r="AJ131" s="16"/>
      <c r="AK131" s="15">
        <f t="shared" si="15"/>
        <v>15772002.440000001</v>
      </c>
      <c r="AL131" s="17">
        <f t="shared" si="16"/>
        <v>108912296.50000001</v>
      </c>
      <c r="AM131" s="22">
        <v>-92401.66</v>
      </c>
      <c r="AN131" s="34"/>
      <c r="AO131" s="15">
        <f t="shared" si="17"/>
        <v>168623718.46000001</v>
      </c>
      <c r="AP131" s="15">
        <f t="shared" si="18"/>
        <v>168716120.12</v>
      </c>
      <c r="AQ131" s="15">
        <f t="shared" si="19"/>
        <v>124684298.94000001</v>
      </c>
    </row>
    <row r="132" spans="2:47" s="20" customFormat="1" x14ac:dyDescent="0.25">
      <c r="B132" s="28">
        <v>43313</v>
      </c>
      <c r="C132" s="15">
        <v>3098019.25</v>
      </c>
      <c r="D132" s="15">
        <v>0</v>
      </c>
      <c r="E132" s="15">
        <v>3390580.7</v>
      </c>
      <c r="F132" s="15">
        <v>276390.71999999997</v>
      </c>
      <c r="G132" s="15">
        <f t="shared" si="10"/>
        <v>6764990.6699999999</v>
      </c>
      <c r="H132" s="15">
        <v>4236237.34</v>
      </c>
      <c r="I132" s="15">
        <v>355062.85</v>
      </c>
      <c r="J132" s="15">
        <v>938266.7</v>
      </c>
      <c r="K132" s="15">
        <f t="shared" si="11"/>
        <v>12294557.559999999</v>
      </c>
      <c r="L132" s="15">
        <v>574298</v>
      </c>
      <c r="M132" s="15">
        <v>0</v>
      </c>
      <c r="N132" s="15">
        <v>102853803.77</v>
      </c>
      <c r="O132" s="15">
        <v>13338762.33</v>
      </c>
      <c r="P132" s="15">
        <v>257262.97</v>
      </c>
      <c r="Q132" s="15">
        <v>1204781.45</v>
      </c>
      <c r="R132" s="15">
        <v>668951.46</v>
      </c>
      <c r="S132" s="15">
        <v>784700.7</v>
      </c>
      <c r="T132" s="15">
        <v>0</v>
      </c>
      <c r="U132" s="15">
        <v>0</v>
      </c>
      <c r="V132" s="15">
        <v>0</v>
      </c>
      <c r="W132" s="15">
        <f t="shared" si="12"/>
        <v>119108262.67999999</v>
      </c>
      <c r="X132" s="15">
        <v>0</v>
      </c>
      <c r="Y132" s="15">
        <v>127747.21</v>
      </c>
      <c r="Z132" s="15">
        <v>347674.22</v>
      </c>
      <c r="AA132" s="15">
        <v>0</v>
      </c>
      <c r="AB132" s="15">
        <f t="shared" si="13"/>
        <v>475421.43</v>
      </c>
      <c r="AC132" s="15">
        <v>12967675.029999999</v>
      </c>
      <c r="AD132" s="15">
        <v>30561034.82</v>
      </c>
      <c r="AE132" s="35">
        <v>8931551.6199999992</v>
      </c>
      <c r="AF132" s="15">
        <f t="shared" si="14"/>
        <v>52460261.469999999</v>
      </c>
      <c r="AG132" s="15">
        <v>0</v>
      </c>
      <c r="AH132" s="15">
        <v>202916.57</v>
      </c>
      <c r="AI132" s="15">
        <v>0</v>
      </c>
      <c r="AJ132" s="16"/>
      <c r="AK132" s="15">
        <f t="shared" si="15"/>
        <v>12868855.559999999</v>
      </c>
      <c r="AL132" s="17">
        <f t="shared" si="16"/>
        <v>119583684.11</v>
      </c>
      <c r="AM132" s="22">
        <v>-1507328.78</v>
      </c>
      <c r="AN132" s="34"/>
      <c r="AO132" s="15">
        <f t="shared" si="17"/>
        <v>183608388.92999998</v>
      </c>
      <c r="AP132" s="15">
        <f t="shared" si="18"/>
        <v>185115717.70999998</v>
      </c>
      <c r="AQ132" s="15">
        <f t="shared" si="19"/>
        <v>132452539.67</v>
      </c>
    </row>
    <row r="133" spans="2:47" s="20" customFormat="1" x14ac:dyDescent="0.25">
      <c r="B133" s="29">
        <v>43344</v>
      </c>
      <c r="C133" s="15">
        <v>3626685.72</v>
      </c>
      <c r="D133" s="15">
        <v>0</v>
      </c>
      <c r="E133" s="15">
        <v>5677788.2699999996</v>
      </c>
      <c r="F133" s="15">
        <v>309954.14</v>
      </c>
      <c r="G133" s="15">
        <f t="shared" si="10"/>
        <v>9614428.1300000008</v>
      </c>
      <c r="H133" s="15">
        <v>11264706.18</v>
      </c>
      <c r="I133" s="15">
        <v>491520.11</v>
      </c>
      <c r="J133" s="15">
        <v>729242.55</v>
      </c>
      <c r="K133" s="15">
        <f t="shared" si="11"/>
        <v>22099896.970000003</v>
      </c>
      <c r="L133" s="15">
        <v>1218291</v>
      </c>
      <c r="M133" s="15">
        <v>0</v>
      </c>
      <c r="N133" s="15">
        <v>82695910.400000006</v>
      </c>
      <c r="O133" s="15">
        <v>9463210.7400000002</v>
      </c>
      <c r="P133" s="15">
        <v>257262.97</v>
      </c>
      <c r="Q133" s="15">
        <v>965962.64</v>
      </c>
      <c r="R133" s="15">
        <v>569409.44999999995</v>
      </c>
      <c r="S133" s="15">
        <v>808254.27</v>
      </c>
      <c r="T133" s="15">
        <v>0</v>
      </c>
      <c r="U133" s="15">
        <v>0</v>
      </c>
      <c r="V133" s="15">
        <v>0</v>
      </c>
      <c r="W133" s="15">
        <f t="shared" si="12"/>
        <v>94760010.469999999</v>
      </c>
      <c r="X133" s="15">
        <v>0</v>
      </c>
      <c r="Y133" s="15">
        <v>127747.21</v>
      </c>
      <c r="Z133" s="15">
        <v>643697.92000000004</v>
      </c>
      <c r="AA133" s="15">
        <v>0</v>
      </c>
      <c r="AB133" s="15">
        <f t="shared" si="13"/>
        <v>771445.13</v>
      </c>
      <c r="AC133" s="15">
        <v>25935350.059999999</v>
      </c>
      <c r="AD133" s="15">
        <v>30561034.82</v>
      </c>
      <c r="AE133" s="35">
        <v>-54000</v>
      </c>
      <c r="AF133" s="15">
        <f t="shared" si="14"/>
        <v>56442384.879999995</v>
      </c>
      <c r="AG133" s="15">
        <v>0</v>
      </c>
      <c r="AH133" s="15">
        <v>252383.88999999998</v>
      </c>
      <c r="AI133" s="15">
        <v>0</v>
      </c>
      <c r="AJ133" s="16"/>
      <c r="AK133" s="15">
        <f t="shared" si="15"/>
        <v>23318187.970000003</v>
      </c>
      <c r="AL133" s="17">
        <f t="shared" si="16"/>
        <v>95531455.599999994</v>
      </c>
      <c r="AM133" s="22">
        <v>-3889081.58</v>
      </c>
      <c r="AN133" s="34"/>
      <c r="AO133" s="15">
        <f t="shared" si="17"/>
        <v>171655330.75999996</v>
      </c>
      <c r="AP133" s="15">
        <f t="shared" si="18"/>
        <v>175544412.33999997</v>
      </c>
      <c r="AQ133" s="15">
        <f t="shared" si="19"/>
        <v>118849643.56999999</v>
      </c>
    </row>
    <row r="134" spans="2:47" s="20" customFormat="1" x14ac:dyDescent="0.25">
      <c r="B134" s="30">
        <v>43374</v>
      </c>
      <c r="C134" s="15">
        <v>2981010.54</v>
      </c>
      <c r="D134" s="16">
        <v>0</v>
      </c>
      <c r="E134" s="15">
        <v>9564541.3699999992</v>
      </c>
      <c r="F134" s="15">
        <v>1104642.8199999998</v>
      </c>
      <c r="G134" s="15">
        <f t="shared" ref="G134:G188" si="20">SUM(C134:F134)</f>
        <v>13650194.73</v>
      </c>
      <c r="H134" s="15">
        <v>3051909.24</v>
      </c>
      <c r="I134" s="15">
        <v>487147.77</v>
      </c>
      <c r="J134" s="15">
        <v>1492832.39</v>
      </c>
      <c r="K134" s="15">
        <f t="shared" ref="K134:K186" si="21">SUM(G134:J134)</f>
        <v>18682084.130000003</v>
      </c>
      <c r="L134" s="15">
        <v>0</v>
      </c>
      <c r="M134" s="15">
        <v>0</v>
      </c>
      <c r="N134" s="15">
        <v>65397128.490000002</v>
      </c>
      <c r="O134" s="15">
        <v>3983718.08</v>
      </c>
      <c r="P134" s="15">
        <v>257262.96999999997</v>
      </c>
      <c r="Q134" s="15">
        <v>1104097.1200000001</v>
      </c>
      <c r="R134" s="15">
        <v>769376.83000000007</v>
      </c>
      <c r="S134" s="15">
        <v>806435.88</v>
      </c>
      <c r="T134" s="15">
        <v>0</v>
      </c>
      <c r="U134" s="15">
        <v>0</v>
      </c>
      <c r="V134" s="15">
        <v>1320568.33</v>
      </c>
      <c r="W134" s="15">
        <f t="shared" ref="W134:W187" si="22">SUM(N134:V134)</f>
        <v>73638587.700000003</v>
      </c>
      <c r="X134" s="15">
        <v>0</v>
      </c>
      <c r="Y134" s="15">
        <v>127747.21</v>
      </c>
      <c r="Z134" s="15">
        <v>521517.99</v>
      </c>
      <c r="AA134" s="15">
        <v>0</v>
      </c>
      <c r="AB134" s="15">
        <f t="shared" ref="AB134:AB187" si="23">SUM(X134:AA134)</f>
        <v>649265.19999999995</v>
      </c>
      <c r="AC134" s="15">
        <v>12967675.060000001</v>
      </c>
      <c r="AD134" s="15">
        <v>30561034.82</v>
      </c>
      <c r="AE134" s="15">
        <v>0</v>
      </c>
      <c r="AF134" s="15">
        <f t="shared" ref="AF134:AF187" si="24">SUM(AC134:AE134)</f>
        <v>43528709.880000003</v>
      </c>
      <c r="AG134" s="15">
        <v>0</v>
      </c>
      <c r="AH134" s="15">
        <v>243863.33000000002</v>
      </c>
      <c r="AI134" s="15">
        <v>0</v>
      </c>
      <c r="AJ134" s="16"/>
      <c r="AK134" s="15">
        <f t="shared" ref="AK134:AK197" si="25">K134+L134+M134</f>
        <v>18682084.130000003</v>
      </c>
      <c r="AL134" s="17">
        <f t="shared" ref="AL134:AL197" si="26">W134+AB134</f>
        <v>74287852.900000006</v>
      </c>
      <c r="AM134" s="22">
        <v>0</v>
      </c>
      <c r="AN134" s="34"/>
      <c r="AO134" s="15">
        <f t="shared" ref="AO134:AO197" si="27">AF134+AG134+AH134+AI134+AK134+AL134+AM134</f>
        <v>136742510.24000001</v>
      </c>
      <c r="AP134" s="15">
        <f t="shared" ref="AP134:AP197" si="28">AO134-AM134-AI134</f>
        <v>136742510.24000001</v>
      </c>
      <c r="AQ134" s="15">
        <f t="shared" ref="AQ134:AQ197" si="29">AK134+AL134</f>
        <v>92969937.030000001</v>
      </c>
    </row>
    <row r="135" spans="2:47" s="20" customFormat="1" x14ac:dyDescent="0.25">
      <c r="B135" s="31">
        <v>43405</v>
      </c>
      <c r="C135" s="15">
        <v>3911023.32</v>
      </c>
      <c r="D135" s="15">
        <v>0</v>
      </c>
      <c r="E135" s="15">
        <v>5789837.8600000003</v>
      </c>
      <c r="F135" s="15">
        <v>65610.149999999994</v>
      </c>
      <c r="G135" s="15">
        <f t="shared" si="20"/>
        <v>9766471.3300000001</v>
      </c>
      <c r="H135" s="15">
        <v>3422508.23</v>
      </c>
      <c r="I135" s="15">
        <v>1489084.02</v>
      </c>
      <c r="J135" s="15">
        <v>954525.54999999981</v>
      </c>
      <c r="K135" s="15">
        <f t="shared" si="21"/>
        <v>15632589.129999999</v>
      </c>
      <c r="L135" s="15">
        <v>4794252</v>
      </c>
      <c r="M135" s="15">
        <v>0</v>
      </c>
      <c r="N135" s="15">
        <v>89456564.989999995</v>
      </c>
      <c r="O135" s="15">
        <v>10710394.77</v>
      </c>
      <c r="P135" s="15">
        <v>257262.97</v>
      </c>
      <c r="Q135" s="15">
        <v>971497.06</v>
      </c>
      <c r="R135" s="15">
        <v>780648.59</v>
      </c>
      <c r="S135" s="15">
        <v>664522.6</v>
      </c>
      <c r="T135" s="15">
        <v>0</v>
      </c>
      <c r="U135" s="15">
        <v>0</v>
      </c>
      <c r="V135" s="15">
        <v>0</v>
      </c>
      <c r="W135" s="15">
        <f t="shared" si="22"/>
        <v>102840890.97999999</v>
      </c>
      <c r="X135" s="15">
        <v>0</v>
      </c>
      <c r="Y135" s="15">
        <v>127747.21</v>
      </c>
      <c r="Z135" s="15">
        <v>484210.33</v>
      </c>
      <c r="AA135" s="15">
        <v>0</v>
      </c>
      <c r="AB135" s="15">
        <f t="shared" si="23"/>
        <v>611957.54</v>
      </c>
      <c r="AC135" s="15">
        <v>0</v>
      </c>
      <c r="AD135" s="15">
        <v>0</v>
      </c>
      <c r="AE135" s="15">
        <v>0</v>
      </c>
      <c r="AF135" s="15">
        <f t="shared" si="24"/>
        <v>0</v>
      </c>
      <c r="AG135" s="15">
        <v>0</v>
      </c>
      <c r="AH135" s="15">
        <v>154824.04999999999</v>
      </c>
      <c r="AI135" s="15">
        <v>0</v>
      </c>
      <c r="AJ135" s="16"/>
      <c r="AK135" s="15">
        <f t="shared" si="25"/>
        <v>20426841.129999999</v>
      </c>
      <c r="AL135" s="17">
        <f t="shared" si="26"/>
        <v>103452848.52</v>
      </c>
      <c r="AM135" s="22">
        <v>0</v>
      </c>
      <c r="AN135" s="34"/>
      <c r="AO135" s="15">
        <f t="shared" si="27"/>
        <v>124034513.69999999</v>
      </c>
      <c r="AP135" s="15">
        <f t="shared" si="28"/>
        <v>124034513.69999999</v>
      </c>
      <c r="AQ135" s="15">
        <f t="shared" si="29"/>
        <v>123879689.64999999</v>
      </c>
    </row>
    <row r="136" spans="2:47" s="20" customFormat="1" x14ac:dyDescent="0.25">
      <c r="B136" s="32">
        <v>43435</v>
      </c>
      <c r="C136" s="15">
        <v>12461074.199999999</v>
      </c>
      <c r="D136" s="15">
        <v>0</v>
      </c>
      <c r="E136" s="15">
        <v>9451698.0399999991</v>
      </c>
      <c r="F136" s="15">
        <v>63938.73</v>
      </c>
      <c r="G136" s="15">
        <f t="shared" si="20"/>
        <v>21976710.969999999</v>
      </c>
      <c r="H136" s="15">
        <v>3487879.15</v>
      </c>
      <c r="I136" s="15">
        <v>18607831.07</v>
      </c>
      <c r="J136" s="15">
        <v>1593512.1099999994</v>
      </c>
      <c r="K136" s="15">
        <f t="shared" si="21"/>
        <v>45665933.299999997</v>
      </c>
      <c r="L136" s="15">
        <v>40163421</v>
      </c>
      <c r="M136" s="15">
        <v>0</v>
      </c>
      <c r="N136" s="15">
        <v>111453714.20999999</v>
      </c>
      <c r="O136" s="15">
        <v>10140928.140000001</v>
      </c>
      <c r="P136" s="15">
        <v>257262.97</v>
      </c>
      <c r="Q136" s="15">
        <v>1141820.3899999999</v>
      </c>
      <c r="R136" s="15">
        <v>760492.55</v>
      </c>
      <c r="S136" s="15">
        <v>778098.22</v>
      </c>
      <c r="T136" s="15">
        <v>0</v>
      </c>
      <c r="U136" s="15">
        <v>0</v>
      </c>
      <c r="V136" s="15">
        <v>0</v>
      </c>
      <c r="W136" s="15">
        <f t="shared" si="22"/>
        <v>124532316.47999999</v>
      </c>
      <c r="X136" s="15">
        <v>0</v>
      </c>
      <c r="Y136" s="15">
        <v>127747.21</v>
      </c>
      <c r="Z136" s="15">
        <v>551719.78</v>
      </c>
      <c r="AA136" s="15">
        <v>0</v>
      </c>
      <c r="AB136" s="15">
        <f t="shared" si="23"/>
        <v>679466.99</v>
      </c>
      <c r="AC136" s="15">
        <v>0</v>
      </c>
      <c r="AD136" s="15">
        <v>61122068.829999998</v>
      </c>
      <c r="AE136" s="15">
        <v>-634999.80000000005</v>
      </c>
      <c r="AF136" s="15">
        <f t="shared" si="24"/>
        <v>60487069.030000001</v>
      </c>
      <c r="AG136" s="15">
        <v>0</v>
      </c>
      <c r="AH136" s="15">
        <v>504571.92</v>
      </c>
      <c r="AI136" s="15">
        <f>105200000</f>
        <v>105200000</v>
      </c>
      <c r="AJ136" s="16"/>
      <c r="AK136" s="15">
        <f t="shared" si="25"/>
        <v>85829354.299999997</v>
      </c>
      <c r="AL136" s="17">
        <f t="shared" si="26"/>
        <v>125211783.46999998</v>
      </c>
      <c r="AM136" s="22">
        <v>149152213.81999999</v>
      </c>
      <c r="AN136" s="34"/>
      <c r="AO136" s="15">
        <f t="shared" si="27"/>
        <v>526384992.53999996</v>
      </c>
      <c r="AP136" s="15">
        <f t="shared" si="28"/>
        <v>272032778.71999997</v>
      </c>
      <c r="AQ136" s="15">
        <f t="shared" si="29"/>
        <v>211041137.76999998</v>
      </c>
    </row>
    <row r="137" spans="2:47" s="20" customFormat="1" x14ac:dyDescent="0.25">
      <c r="B137" s="14">
        <v>43466</v>
      </c>
      <c r="C137" s="15">
        <v>93051873.959999993</v>
      </c>
      <c r="D137" s="15">
        <v>0</v>
      </c>
      <c r="E137" s="15">
        <v>3753547.78</v>
      </c>
      <c r="F137" s="15">
        <v>1663766.21</v>
      </c>
      <c r="G137" s="15">
        <f t="shared" si="20"/>
        <v>98469187.949999988</v>
      </c>
      <c r="H137" s="15">
        <v>8477463.7400000002</v>
      </c>
      <c r="I137" s="15">
        <v>566628.81999999995</v>
      </c>
      <c r="J137" s="15">
        <v>1739104.0700000003</v>
      </c>
      <c r="K137" s="15">
        <f t="shared" si="21"/>
        <v>109252384.57999998</v>
      </c>
      <c r="L137" s="15">
        <v>11318566</v>
      </c>
      <c r="M137" s="15">
        <v>0</v>
      </c>
      <c r="N137" s="15">
        <v>83836234.680000007</v>
      </c>
      <c r="O137" s="15">
        <v>9332520.7200000007</v>
      </c>
      <c r="P137" s="15">
        <v>542639.56000000006</v>
      </c>
      <c r="Q137" s="15">
        <v>1091193.19</v>
      </c>
      <c r="R137" s="15">
        <v>636937.30000000005</v>
      </c>
      <c r="S137" s="15">
        <v>735484.42</v>
      </c>
      <c r="T137" s="15">
        <v>0</v>
      </c>
      <c r="U137" s="15">
        <v>0</v>
      </c>
      <c r="V137" s="15">
        <v>0</v>
      </c>
      <c r="W137" s="15">
        <f t="shared" si="22"/>
        <v>96175009.870000005</v>
      </c>
      <c r="X137" s="15">
        <v>0</v>
      </c>
      <c r="Y137" s="15">
        <v>130802.65</v>
      </c>
      <c r="Z137" s="15">
        <v>694224.26</v>
      </c>
      <c r="AA137" s="15">
        <v>0</v>
      </c>
      <c r="AB137" s="15">
        <f t="shared" si="23"/>
        <v>825026.91</v>
      </c>
      <c r="AC137" s="15">
        <v>15809353.84</v>
      </c>
      <c r="AD137" s="15">
        <v>34671916.240000002</v>
      </c>
      <c r="AE137" s="15">
        <v>0</v>
      </c>
      <c r="AF137" s="15">
        <f t="shared" si="24"/>
        <v>50481270.079999998</v>
      </c>
      <c r="AG137" s="15">
        <v>0</v>
      </c>
      <c r="AH137" s="15">
        <v>201755.71000000002</v>
      </c>
      <c r="AI137" s="15">
        <v>0</v>
      </c>
      <c r="AJ137" s="16"/>
      <c r="AK137" s="15">
        <f t="shared" si="25"/>
        <v>120570950.57999998</v>
      </c>
      <c r="AL137" s="17">
        <f t="shared" si="26"/>
        <v>97000036.780000001</v>
      </c>
      <c r="AM137" s="22">
        <v>-34560.949999999997</v>
      </c>
      <c r="AN137" s="34"/>
      <c r="AO137" s="15">
        <f t="shared" si="27"/>
        <v>268219452.19999999</v>
      </c>
      <c r="AP137" s="15">
        <f t="shared" si="28"/>
        <v>268254013.14999998</v>
      </c>
      <c r="AQ137" s="15">
        <f t="shared" si="29"/>
        <v>217570987.35999998</v>
      </c>
    </row>
    <row r="138" spans="2:47" s="20" customFormat="1" x14ac:dyDescent="0.25">
      <c r="B138" s="21">
        <v>43497</v>
      </c>
      <c r="C138" s="15">
        <v>11894838.07</v>
      </c>
      <c r="D138" s="15">
        <v>0</v>
      </c>
      <c r="E138" s="15">
        <v>6161170.0300000003</v>
      </c>
      <c r="F138" s="15">
        <v>720762.47</v>
      </c>
      <c r="G138" s="15">
        <f t="shared" si="20"/>
        <v>18776770.57</v>
      </c>
      <c r="H138" s="15">
        <v>5173205.7</v>
      </c>
      <c r="I138" s="15">
        <v>295329.3</v>
      </c>
      <c r="J138" s="15">
        <v>1900738.44</v>
      </c>
      <c r="K138" s="15">
        <f t="shared" si="21"/>
        <v>26146044.010000002</v>
      </c>
      <c r="L138" s="15">
        <v>0</v>
      </c>
      <c r="M138" s="15">
        <v>0</v>
      </c>
      <c r="N138" s="15">
        <v>109549383.97</v>
      </c>
      <c r="O138" s="15">
        <v>13174312.359999999</v>
      </c>
      <c r="P138" s="15">
        <v>257262.97</v>
      </c>
      <c r="Q138" s="15">
        <v>1198781.8999999999</v>
      </c>
      <c r="R138" s="15">
        <v>1033507.26</v>
      </c>
      <c r="S138" s="15">
        <v>817802.94</v>
      </c>
      <c r="T138" s="15">
        <v>0</v>
      </c>
      <c r="U138" s="15">
        <v>0</v>
      </c>
      <c r="V138" s="15">
        <v>0</v>
      </c>
      <c r="W138" s="15">
        <f t="shared" si="22"/>
        <v>126031051.40000001</v>
      </c>
      <c r="X138" s="15">
        <v>0</v>
      </c>
      <c r="Y138" s="15">
        <v>130802.65</v>
      </c>
      <c r="Z138" s="15">
        <v>732295.86</v>
      </c>
      <c r="AA138" s="15">
        <v>0</v>
      </c>
      <c r="AB138" s="15">
        <f t="shared" si="23"/>
        <v>863098.51</v>
      </c>
      <c r="AC138" s="15">
        <v>15809353.84</v>
      </c>
      <c r="AD138" s="15">
        <v>34671916.240000002</v>
      </c>
      <c r="AE138" s="15">
        <v>0</v>
      </c>
      <c r="AF138" s="15">
        <f t="shared" si="24"/>
        <v>50481270.079999998</v>
      </c>
      <c r="AG138" s="15">
        <v>0</v>
      </c>
      <c r="AH138" s="15">
        <v>54897.25</v>
      </c>
      <c r="AI138" s="15">
        <v>0</v>
      </c>
      <c r="AJ138" s="16"/>
      <c r="AK138" s="15">
        <f t="shared" si="25"/>
        <v>26146044.010000002</v>
      </c>
      <c r="AL138" s="17">
        <f t="shared" si="26"/>
        <v>126894149.91000001</v>
      </c>
      <c r="AM138" s="22">
        <v>0</v>
      </c>
      <c r="AN138" s="34"/>
      <c r="AO138" s="15">
        <f t="shared" si="27"/>
        <v>203576361.25</v>
      </c>
      <c r="AP138" s="15">
        <f t="shared" si="28"/>
        <v>203576361.25</v>
      </c>
      <c r="AQ138" s="15">
        <f t="shared" si="29"/>
        <v>153040193.92000002</v>
      </c>
    </row>
    <row r="139" spans="2:47" s="20" customFormat="1" x14ac:dyDescent="0.25">
      <c r="B139" s="23">
        <v>43525</v>
      </c>
      <c r="C139" s="15">
        <v>9238390.5099999998</v>
      </c>
      <c r="D139" s="15">
        <v>0</v>
      </c>
      <c r="E139" s="15">
        <v>5298510.1100000003</v>
      </c>
      <c r="F139" s="15">
        <v>765025.38</v>
      </c>
      <c r="G139" s="15">
        <f t="shared" si="20"/>
        <v>15301926.000000002</v>
      </c>
      <c r="H139" s="15">
        <v>5544786.71</v>
      </c>
      <c r="I139" s="15">
        <v>668703.96</v>
      </c>
      <c r="J139" s="15">
        <v>1581988.6199999973</v>
      </c>
      <c r="K139" s="15">
        <f t="shared" si="21"/>
        <v>23097405.289999999</v>
      </c>
      <c r="L139" s="15">
        <v>33559925</v>
      </c>
      <c r="M139" s="15">
        <v>0</v>
      </c>
      <c r="N139" s="15">
        <v>85077025.659999996</v>
      </c>
      <c r="O139" s="15">
        <v>10733298.26</v>
      </c>
      <c r="P139" s="15">
        <v>257262.97</v>
      </c>
      <c r="Q139" s="15">
        <v>1011282.52</v>
      </c>
      <c r="R139" s="15">
        <v>849417.44</v>
      </c>
      <c r="S139" s="15">
        <v>749882.02</v>
      </c>
      <c r="T139" s="15">
        <v>0</v>
      </c>
      <c r="U139" s="15">
        <v>0</v>
      </c>
      <c r="V139" s="15">
        <v>0</v>
      </c>
      <c r="W139" s="15">
        <f t="shared" si="22"/>
        <v>98678168.86999999</v>
      </c>
      <c r="X139" s="15">
        <v>0</v>
      </c>
      <c r="Y139" s="15">
        <v>130802.65</v>
      </c>
      <c r="Z139" s="15">
        <v>450337.93</v>
      </c>
      <c r="AA139" s="15">
        <v>0</v>
      </c>
      <c r="AB139" s="15">
        <f t="shared" si="23"/>
        <v>581140.57999999996</v>
      </c>
      <c r="AC139" s="15">
        <v>15809353.84</v>
      </c>
      <c r="AD139" s="15">
        <v>34671916.240000002</v>
      </c>
      <c r="AE139" s="15">
        <v>0</v>
      </c>
      <c r="AF139" s="15">
        <f t="shared" si="24"/>
        <v>50481270.079999998</v>
      </c>
      <c r="AG139" s="15">
        <v>0</v>
      </c>
      <c r="AH139" s="15">
        <v>133045.72</v>
      </c>
      <c r="AI139" s="15">
        <v>0</v>
      </c>
      <c r="AJ139" s="16"/>
      <c r="AK139" s="15">
        <f t="shared" si="25"/>
        <v>56657330.289999999</v>
      </c>
      <c r="AL139" s="17">
        <f t="shared" si="26"/>
        <v>99259309.449999988</v>
      </c>
      <c r="AM139" s="22">
        <v>0</v>
      </c>
      <c r="AN139" s="34"/>
      <c r="AO139" s="15">
        <f t="shared" si="27"/>
        <v>206530955.53999999</v>
      </c>
      <c r="AP139" s="15">
        <f t="shared" si="28"/>
        <v>206530955.53999999</v>
      </c>
      <c r="AQ139" s="15">
        <f t="shared" si="29"/>
        <v>155916639.73999998</v>
      </c>
    </row>
    <row r="140" spans="2:47" s="20" customFormat="1" x14ac:dyDescent="0.25">
      <c r="B140" s="24">
        <v>43556</v>
      </c>
      <c r="C140" s="15">
        <v>4227288.55</v>
      </c>
      <c r="D140" s="15">
        <v>0</v>
      </c>
      <c r="E140" s="15">
        <v>4624877.9400000004</v>
      </c>
      <c r="F140" s="15">
        <v>495358.32</v>
      </c>
      <c r="G140" s="15">
        <f t="shared" si="20"/>
        <v>9347524.8100000005</v>
      </c>
      <c r="H140" s="15">
        <v>3448030.68</v>
      </c>
      <c r="I140" s="15">
        <v>1207393.47</v>
      </c>
      <c r="J140" s="15">
        <v>1371153.92</v>
      </c>
      <c r="K140" s="15">
        <f t="shared" si="21"/>
        <v>15374102.880000001</v>
      </c>
      <c r="L140" s="15">
        <v>11501803</v>
      </c>
      <c r="M140" s="15">
        <v>0</v>
      </c>
      <c r="N140" s="15">
        <v>93557064.989999995</v>
      </c>
      <c r="O140" s="15">
        <v>10832443.17</v>
      </c>
      <c r="P140" s="15">
        <v>693351.99</v>
      </c>
      <c r="Q140" s="15">
        <v>1031757.07</v>
      </c>
      <c r="R140" s="15">
        <v>702820.45</v>
      </c>
      <c r="S140" s="15">
        <v>715690.32</v>
      </c>
      <c r="T140" s="15">
        <v>0</v>
      </c>
      <c r="U140" s="15">
        <v>0</v>
      </c>
      <c r="V140" s="15">
        <v>0</v>
      </c>
      <c r="W140" s="15">
        <f t="shared" si="22"/>
        <v>107533127.98999998</v>
      </c>
      <c r="X140" s="15">
        <v>0</v>
      </c>
      <c r="Y140" s="15">
        <v>130802.65</v>
      </c>
      <c r="Z140" s="15">
        <v>411427.71</v>
      </c>
      <c r="AA140" s="15">
        <v>0</v>
      </c>
      <c r="AB140" s="15">
        <f t="shared" si="23"/>
        <v>542230.36</v>
      </c>
      <c r="AC140" s="15">
        <v>15809353.84</v>
      </c>
      <c r="AD140" s="15">
        <v>34671916.240000002</v>
      </c>
      <c r="AE140" s="15">
        <v>0</v>
      </c>
      <c r="AF140" s="15">
        <f t="shared" si="24"/>
        <v>50481270.079999998</v>
      </c>
      <c r="AG140" s="15">
        <v>0</v>
      </c>
      <c r="AH140" s="15">
        <v>-244749.82</v>
      </c>
      <c r="AI140" s="15">
        <v>0</v>
      </c>
      <c r="AJ140" s="16"/>
      <c r="AK140" s="15">
        <f t="shared" si="25"/>
        <v>26875905.880000003</v>
      </c>
      <c r="AL140" s="17">
        <f t="shared" si="26"/>
        <v>108075358.34999998</v>
      </c>
      <c r="AM140" s="22">
        <v>-11744204.42</v>
      </c>
      <c r="AN140" s="34"/>
      <c r="AO140" s="15">
        <f t="shared" si="27"/>
        <v>173443580.06999999</v>
      </c>
      <c r="AP140" s="15">
        <f t="shared" si="28"/>
        <v>185187784.48999998</v>
      </c>
      <c r="AQ140" s="15">
        <f t="shared" si="29"/>
        <v>134951264.22999999</v>
      </c>
      <c r="AU140" s="33"/>
    </row>
    <row r="141" spans="2:47" s="20" customFormat="1" x14ac:dyDescent="0.25">
      <c r="B141" s="25">
        <v>43586</v>
      </c>
      <c r="C141" s="15">
        <v>3434540.7899999991</v>
      </c>
      <c r="D141" s="15">
        <v>31728757</v>
      </c>
      <c r="E141" s="15">
        <v>4382071.7</v>
      </c>
      <c r="F141" s="15">
        <v>640701.42000000004</v>
      </c>
      <c r="G141" s="15">
        <f t="shared" si="20"/>
        <v>40186070.910000004</v>
      </c>
      <c r="H141" s="15">
        <v>4653632.3099999996</v>
      </c>
      <c r="I141" s="15">
        <v>1409392.44</v>
      </c>
      <c r="J141" s="15">
        <v>2168629.4699999988</v>
      </c>
      <c r="K141" s="15">
        <f t="shared" si="21"/>
        <v>48417725.130000003</v>
      </c>
      <c r="L141" s="15">
        <v>22831309</v>
      </c>
      <c r="M141" s="15">
        <v>0</v>
      </c>
      <c r="N141" s="15">
        <v>93728727.790000007</v>
      </c>
      <c r="O141" s="15">
        <v>12581618.470000001</v>
      </c>
      <c r="P141" s="15">
        <v>286234.68</v>
      </c>
      <c r="Q141" s="15">
        <v>1129986.3999999999</v>
      </c>
      <c r="R141" s="15">
        <v>1315557.49</v>
      </c>
      <c r="S141" s="15">
        <v>711658.74</v>
      </c>
      <c r="T141" s="15">
        <v>0</v>
      </c>
      <c r="U141" s="15">
        <v>0</v>
      </c>
      <c r="V141" s="15">
        <v>0</v>
      </c>
      <c r="W141" s="15">
        <f t="shared" si="22"/>
        <v>109753783.57000001</v>
      </c>
      <c r="X141" s="15">
        <v>0</v>
      </c>
      <c r="Y141" s="15">
        <v>130802.65</v>
      </c>
      <c r="Z141" s="15">
        <v>479646.23</v>
      </c>
      <c r="AA141" s="15">
        <v>0</v>
      </c>
      <c r="AB141" s="15">
        <f t="shared" si="23"/>
        <v>610448.88</v>
      </c>
      <c r="AC141" s="15">
        <v>15809353.84</v>
      </c>
      <c r="AD141" s="15">
        <v>34671916.240000002</v>
      </c>
      <c r="AE141" s="15">
        <v>21711325.300000001</v>
      </c>
      <c r="AF141" s="15">
        <f t="shared" si="24"/>
        <v>72192595.379999995</v>
      </c>
      <c r="AG141" s="15">
        <v>0</v>
      </c>
      <c r="AH141" s="15">
        <v>391330.89</v>
      </c>
      <c r="AI141" s="15">
        <v>0</v>
      </c>
      <c r="AJ141" s="16"/>
      <c r="AK141" s="15">
        <f t="shared" si="25"/>
        <v>71249034.129999995</v>
      </c>
      <c r="AL141" s="17">
        <f t="shared" si="26"/>
        <v>110364232.45</v>
      </c>
      <c r="AM141" s="22">
        <v>-676.77</v>
      </c>
      <c r="AN141" s="34"/>
      <c r="AO141" s="15">
        <f t="shared" si="27"/>
        <v>254196516.07999995</v>
      </c>
      <c r="AP141" s="15">
        <f t="shared" si="28"/>
        <v>254197192.84999996</v>
      </c>
      <c r="AQ141" s="15">
        <f t="shared" si="29"/>
        <v>181613266.57999998</v>
      </c>
      <c r="AU141" s="33"/>
    </row>
    <row r="142" spans="2:47" s="20" customFormat="1" x14ac:dyDescent="0.25">
      <c r="B142" s="26">
        <v>43617</v>
      </c>
      <c r="C142" s="15">
        <v>4523714.4000000004</v>
      </c>
      <c r="D142" s="15">
        <v>0</v>
      </c>
      <c r="E142" s="15">
        <v>23252671.800000001</v>
      </c>
      <c r="F142" s="15">
        <v>553663.68999999994</v>
      </c>
      <c r="G142" s="15">
        <f t="shared" si="20"/>
        <v>28330049.890000004</v>
      </c>
      <c r="H142" s="15">
        <v>3413407.84</v>
      </c>
      <c r="I142" s="15">
        <v>1253590.8600000001</v>
      </c>
      <c r="J142" s="15">
        <v>2571437.25</v>
      </c>
      <c r="K142" s="15">
        <f t="shared" si="21"/>
        <v>35568485.840000004</v>
      </c>
      <c r="L142" s="15">
        <v>9483303</v>
      </c>
      <c r="M142" s="15">
        <v>0</v>
      </c>
      <c r="N142" s="15">
        <v>103976257.45</v>
      </c>
      <c r="O142" s="15">
        <v>9883624.25</v>
      </c>
      <c r="P142" s="15">
        <v>257262.97</v>
      </c>
      <c r="Q142" s="15">
        <v>1168188.6100000001</v>
      </c>
      <c r="R142" s="15">
        <v>869960.52</v>
      </c>
      <c r="S142" s="15">
        <v>786806.91</v>
      </c>
      <c r="T142" s="15">
        <v>0</v>
      </c>
      <c r="U142" s="15">
        <v>0</v>
      </c>
      <c r="V142" s="15">
        <v>0</v>
      </c>
      <c r="W142" s="15">
        <f t="shared" si="22"/>
        <v>116942100.70999999</v>
      </c>
      <c r="X142" s="15">
        <v>0</v>
      </c>
      <c r="Y142" s="15">
        <v>130802.65</v>
      </c>
      <c r="Z142" s="15">
        <v>405792.1</v>
      </c>
      <c r="AA142" s="15">
        <v>0</v>
      </c>
      <c r="AB142" s="15">
        <f t="shared" si="23"/>
        <v>536594.75</v>
      </c>
      <c r="AC142" s="15">
        <v>15809353.84</v>
      </c>
      <c r="AD142" s="15">
        <v>34671916.240000002</v>
      </c>
      <c r="AE142" s="15">
        <v>130572</v>
      </c>
      <c r="AF142" s="15">
        <f t="shared" si="24"/>
        <v>50611842.079999998</v>
      </c>
      <c r="AG142" s="15">
        <v>0</v>
      </c>
      <c r="AH142" s="15">
        <v>338471.47000000003</v>
      </c>
      <c r="AI142" s="15">
        <v>0</v>
      </c>
      <c r="AJ142" s="16"/>
      <c r="AK142" s="15">
        <f t="shared" si="25"/>
        <v>45051788.840000004</v>
      </c>
      <c r="AL142" s="17">
        <f t="shared" si="26"/>
        <v>117478695.45999999</v>
      </c>
      <c r="AM142" s="22">
        <v>1211</v>
      </c>
      <c r="AN142" s="34"/>
      <c r="AO142" s="15">
        <f t="shared" si="27"/>
        <v>213482008.84999999</v>
      </c>
      <c r="AP142" s="15">
        <f t="shared" si="28"/>
        <v>213480797.84999999</v>
      </c>
      <c r="AQ142" s="15">
        <f t="shared" si="29"/>
        <v>162530484.30000001</v>
      </c>
    </row>
    <row r="143" spans="2:47" s="20" customFormat="1" x14ac:dyDescent="0.25">
      <c r="B143" s="27">
        <v>43647</v>
      </c>
      <c r="C143" s="15">
        <v>9243590.6199999992</v>
      </c>
      <c r="D143" s="15">
        <v>0</v>
      </c>
      <c r="E143" s="15">
        <v>6444725.3600000003</v>
      </c>
      <c r="F143" s="15">
        <v>138728.34</v>
      </c>
      <c r="G143" s="15">
        <f t="shared" si="20"/>
        <v>15827044.32</v>
      </c>
      <c r="H143" s="15">
        <v>5415159.8200000003</v>
      </c>
      <c r="I143" s="15">
        <v>1409060.9</v>
      </c>
      <c r="J143" s="15">
        <v>3395578.6499999985</v>
      </c>
      <c r="K143" s="15">
        <f t="shared" si="21"/>
        <v>26046843.689999998</v>
      </c>
      <c r="L143" s="15">
        <v>13940999</v>
      </c>
      <c r="M143" s="15">
        <v>0</v>
      </c>
      <c r="N143" s="15">
        <v>89146092.959999993</v>
      </c>
      <c r="O143" s="15">
        <v>9726040.8599999994</v>
      </c>
      <c r="P143" s="15">
        <v>520443.97</v>
      </c>
      <c r="Q143" s="15">
        <v>1063672.82</v>
      </c>
      <c r="R143" s="15">
        <v>767406.68</v>
      </c>
      <c r="S143" s="15">
        <v>769398.49</v>
      </c>
      <c r="T143" s="15">
        <v>0</v>
      </c>
      <c r="U143" s="15">
        <v>0</v>
      </c>
      <c r="V143" s="15">
        <v>0</v>
      </c>
      <c r="W143" s="15">
        <f t="shared" si="22"/>
        <v>101993055.77999999</v>
      </c>
      <c r="X143" s="15">
        <v>0</v>
      </c>
      <c r="Y143" s="15">
        <v>261605.3</v>
      </c>
      <c r="Z143" s="15">
        <v>445103.84</v>
      </c>
      <c r="AA143" s="15">
        <v>0</v>
      </c>
      <c r="AB143" s="15">
        <f t="shared" si="23"/>
        <v>706709.14</v>
      </c>
      <c r="AC143" s="15">
        <v>15809353.84</v>
      </c>
      <c r="AD143" s="15">
        <v>34671916.240000002</v>
      </c>
      <c r="AE143" s="15">
        <v>0</v>
      </c>
      <c r="AF143" s="15">
        <f t="shared" si="24"/>
        <v>50481270.079999998</v>
      </c>
      <c r="AG143" s="15">
        <v>0</v>
      </c>
      <c r="AH143" s="15">
        <v>379204.05</v>
      </c>
      <c r="AI143" s="15">
        <v>0</v>
      </c>
      <c r="AJ143" s="16"/>
      <c r="AK143" s="15">
        <f t="shared" si="25"/>
        <v>39987842.689999998</v>
      </c>
      <c r="AL143" s="17">
        <f t="shared" si="26"/>
        <v>102699764.91999999</v>
      </c>
      <c r="AM143" s="22">
        <v>-294.01</v>
      </c>
      <c r="AN143" s="34"/>
      <c r="AO143" s="15">
        <f t="shared" si="27"/>
        <v>193547787.72999999</v>
      </c>
      <c r="AP143" s="15">
        <f t="shared" si="28"/>
        <v>193548081.73999998</v>
      </c>
      <c r="AQ143" s="15">
        <f t="shared" si="29"/>
        <v>142687607.60999998</v>
      </c>
    </row>
    <row r="144" spans="2:47" s="20" customFormat="1" x14ac:dyDescent="0.25">
      <c r="B144" s="28">
        <v>43678</v>
      </c>
      <c r="C144" s="15">
        <v>8041870.9900000002</v>
      </c>
      <c r="D144" s="15">
        <v>0</v>
      </c>
      <c r="E144" s="15">
        <v>7420620.5499999998</v>
      </c>
      <c r="F144" s="15">
        <v>146468.15</v>
      </c>
      <c r="G144" s="15">
        <f t="shared" si="20"/>
        <v>15608959.689999999</v>
      </c>
      <c r="H144" s="15">
        <v>4404174.38</v>
      </c>
      <c r="I144" s="15">
        <v>1666503.64</v>
      </c>
      <c r="J144" s="15">
        <v>2933452.5999999996</v>
      </c>
      <c r="K144" s="15">
        <f t="shared" si="21"/>
        <v>24613090.310000002</v>
      </c>
      <c r="L144" s="15">
        <v>7305059</v>
      </c>
      <c r="M144" s="15">
        <v>0</v>
      </c>
      <c r="N144" s="15">
        <v>87310592.650000006</v>
      </c>
      <c r="O144" s="15">
        <v>9474391.0399999991</v>
      </c>
      <c r="P144" s="15">
        <v>257262.97</v>
      </c>
      <c r="Q144" s="15">
        <v>1015341.87</v>
      </c>
      <c r="R144" s="15">
        <v>966826.17</v>
      </c>
      <c r="S144" s="15">
        <v>624293.31000000006</v>
      </c>
      <c r="T144" s="15">
        <v>0</v>
      </c>
      <c r="U144" s="15">
        <v>0</v>
      </c>
      <c r="V144" s="15">
        <v>5729831.2999999998</v>
      </c>
      <c r="W144" s="15">
        <f t="shared" si="22"/>
        <v>105378539.31</v>
      </c>
      <c r="X144" s="15">
        <v>0</v>
      </c>
      <c r="Y144" s="15">
        <v>130802.65</v>
      </c>
      <c r="Z144" s="15">
        <v>418337.13</v>
      </c>
      <c r="AA144" s="15">
        <v>0</v>
      </c>
      <c r="AB144" s="15">
        <f t="shared" si="23"/>
        <v>549139.78</v>
      </c>
      <c r="AC144" s="15">
        <v>15809353.84</v>
      </c>
      <c r="AD144" s="15">
        <v>34671916.240000002</v>
      </c>
      <c r="AE144" s="15">
        <v>0</v>
      </c>
      <c r="AF144" s="15">
        <f t="shared" si="24"/>
        <v>50481270.079999998</v>
      </c>
      <c r="AG144" s="15">
        <v>0</v>
      </c>
      <c r="AH144" s="15">
        <v>507700.91000000003</v>
      </c>
      <c r="AI144" s="15">
        <v>0</v>
      </c>
      <c r="AJ144" s="16"/>
      <c r="AK144" s="15">
        <f t="shared" si="25"/>
        <v>31918149.310000002</v>
      </c>
      <c r="AL144" s="17">
        <f t="shared" si="26"/>
        <v>105927679.09</v>
      </c>
      <c r="AM144" s="22">
        <v>0</v>
      </c>
      <c r="AN144" s="34"/>
      <c r="AO144" s="15">
        <f t="shared" si="27"/>
        <v>188834799.38999999</v>
      </c>
      <c r="AP144" s="15">
        <f t="shared" si="28"/>
        <v>188834799.38999999</v>
      </c>
      <c r="AQ144" s="15">
        <f t="shared" si="29"/>
        <v>137845828.40000001</v>
      </c>
    </row>
    <row r="145" spans="2:47" s="20" customFormat="1" x14ac:dyDescent="0.25">
      <c r="B145" s="29">
        <v>43709</v>
      </c>
      <c r="C145" s="15">
        <v>6830866.6100000003</v>
      </c>
      <c r="D145" s="15">
        <v>0</v>
      </c>
      <c r="E145" s="15">
        <v>6157173.0599999996</v>
      </c>
      <c r="F145" s="15">
        <v>587178.77</v>
      </c>
      <c r="G145" s="15">
        <f t="shared" si="20"/>
        <v>13575218.439999999</v>
      </c>
      <c r="H145" s="15">
        <v>3631741.61</v>
      </c>
      <c r="I145" s="15">
        <v>2816284.7</v>
      </c>
      <c r="J145" s="15">
        <v>3869446.7799999993</v>
      </c>
      <c r="K145" s="15">
        <f t="shared" si="21"/>
        <v>23892691.530000001</v>
      </c>
      <c r="L145" s="15">
        <v>12754034</v>
      </c>
      <c r="M145" s="15">
        <v>0</v>
      </c>
      <c r="N145" s="15">
        <v>69808114.650000006</v>
      </c>
      <c r="O145" s="15">
        <v>7975925.54</v>
      </c>
      <c r="P145" s="15">
        <v>257262.97</v>
      </c>
      <c r="Q145" s="15">
        <v>1088769.0900000001</v>
      </c>
      <c r="R145" s="15">
        <v>970096.6</v>
      </c>
      <c r="S145" s="15">
        <v>710111.11</v>
      </c>
      <c r="T145" s="15">
        <v>0</v>
      </c>
      <c r="U145" s="15">
        <v>0</v>
      </c>
      <c r="V145" s="15">
        <v>0</v>
      </c>
      <c r="W145" s="15">
        <f t="shared" si="22"/>
        <v>80810279.960000008</v>
      </c>
      <c r="X145" s="15">
        <v>0</v>
      </c>
      <c r="Y145" s="15">
        <v>130802.65</v>
      </c>
      <c r="Z145" s="15">
        <v>455359.07</v>
      </c>
      <c r="AA145" s="15">
        <v>0</v>
      </c>
      <c r="AB145" s="15">
        <f t="shared" si="23"/>
        <v>586161.72</v>
      </c>
      <c r="AC145" s="15">
        <v>15809353.84</v>
      </c>
      <c r="AD145" s="15">
        <v>34671916.240000002</v>
      </c>
      <c r="AE145" s="15">
        <v>9391901.6999999993</v>
      </c>
      <c r="AF145" s="15">
        <f t="shared" si="24"/>
        <v>59873171.780000001</v>
      </c>
      <c r="AG145" s="15">
        <v>0</v>
      </c>
      <c r="AH145" s="15">
        <v>498135.52</v>
      </c>
      <c r="AI145" s="15">
        <v>0</v>
      </c>
      <c r="AJ145" s="16"/>
      <c r="AK145" s="15">
        <f t="shared" si="25"/>
        <v>36646725.530000001</v>
      </c>
      <c r="AL145" s="17">
        <f t="shared" si="26"/>
        <v>81396441.680000007</v>
      </c>
      <c r="AM145" s="22">
        <v>0</v>
      </c>
      <c r="AN145" s="34"/>
      <c r="AO145" s="15">
        <f t="shared" si="27"/>
        <v>178414474.51000002</v>
      </c>
      <c r="AP145" s="15">
        <f t="shared" si="28"/>
        <v>178414474.51000002</v>
      </c>
      <c r="AQ145" s="15">
        <f t="shared" si="29"/>
        <v>118043167.21000001</v>
      </c>
    </row>
    <row r="146" spans="2:47" s="20" customFormat="1" x14ac:dyDescent="0.25">
      <c r="B146" s="30">
        <v>43739</v>
      </c>
      <c r="C146" s="15">
        <v>5168188.6500000004</v>
      </c>
      <c r="D146" s="15">
        <v>0</v>
      </c>
      <c r="E146" s="15">
        <v>6195853.4100000001</v>
      </c>
      <c r="F146" s="15">
        <v>150854.66</v>
      </c>
      <c r="G146" s="15">
        <f t="shared" si="20"/>
        <v>11514896.720000001</v>
      </c>
      <c r="H146" s="15">
        <v>4228937.2</v>
      </c>
      <c r="I146" s="15">
        <v>15298784.51</v>
      </c>
      <c r="J146" s="15">
        <v>3919867</v>
      </c>
      <c r="K146" s="15">
        <f t="shared" si="21"/>
        <v>34962485.43</v>
      </c>
      <c r="L146" s="16">
        <v>10823628</v>
      </c>
      <c r="M146" s="15">
        <v>0</v>
      </c>
      <c r="N146" s="15">
        <v>73818516.280000001</v>
      </c>
      <c r="O146" s="15">
        <v>0</v>
      </c>
      <c r="P146" s="15">
        <v>475038.01</v>
      </c>
      <c r="Q146" s="15">
        <v>1069693.98</v>
      </c>
      <c r="R146" s="15">
        <v>1164327.57</v>
      </c>
      <c r="S146" s="15">
        <v>700563.12</v>
      </c>
      <c r="T146" s="15">
        <v>0</v>
      </c>
      <c r="U146" s="15">
        <v>0</v>
      </c>
      <c r="V146" s="15">
        <v>17386928.560000002</v>
      </c>
      <c r="W146" s="15">
        <f t="shared" si="22"/>
        <v>94615067.520000011</v>
      </c>
      <c r="X146" s="15">
        <v>0</v>
      </c>
      <c r="Y146" s="15">
        <v>130802.67</v>
      </c>
      <c r="Z146" s="15">
        <v>410903.24</v>
      </c>
      <c r="AA146" s="15">
        <v>0</v>
      </c>
      <c r="AB146" s="15">
        <f t="shared" si="23"/>
        <v>541705.91</v>
      </c>
      <c r="AC146" s="15">
        <v>15809353.85</v>
      </c>
      <c r="AD146" s="15">
        <v>34671916.240000002</v>
      </c>
      <c r="AE146" s="15">
        <v>261144</v>
      </c>
      <c r="AF146" s="15">
        <f t="shared" si="24"/>
        <v>50742414.090000004</v>
      </c>
      <c r="AG146" s="15">
        <v>0</v>
      </c>
      <c r="AH146" s="15">
        <v>538033.06999999995</v>
      </c>
      <c r="AI146" s="15">
        <v>0</v>
      </c>
      <c r="AJ146" s="16"/>
      <c r="AK146" s="15">
        <f t="shared" si="25"/>
        <v>45786113.43</v>
      </c>
      <c r="AL146" s="17">
        <f t="shared" si="26"/>
        <v>95156773.430000007</v>
      </c>
      <c r="AM146" s="22">
        <v>-6016</v>
      </c>
      <c r="AN146" s="34"/>
      <c r="AO146" s="15">
        <f t="shared" si="27"/>
        <v>192217318.02000001</v>
      </c>
      <c r="AP146" s="15">
        <f t="shared" si="28"/>
        <v>192223334.02000001</v>
      </c>
      <c r="AQ146" s="15">
        <f t="shared" si="29"/>
        <v>140942886.86000001</v>
      </c>
    </row>
    <row r="147" spans="2:47" s="20" customFormat="1" x14ac:dyDescent="0.25">
      <c r="B147" s="31">
        <v>43770</v>
      </c>
      <c r="C147" s="15">
        <v>5466763.5099999998</v>
      </c>
      <c r="D147" s="15">
        <v>0</v>
      </c>
      <c r="E147" s="15">
        <v>6325415.8399999999</v>
      </c>
      <c r="F147" s="15">
        <v>153486.26</v>
      </c>
      <c r="G147" s="15">
        <f t="shared" si="20"/>
        <v>11945665.609999999</v>
      </c>
      <c r="H147" s="15">
        <v>3850230.82</v>
      </c>
      <c r="I147" s="15">
        <v>2595925.7400000002</v>
      </c>
      <c r="J147" s="15">
        <v>2947785.0399999991</v>
      </c>
      <c r="K147" s="15">
        <f t="shared" si="21"/>
        <v>21339607.210000001</v>
      </c>
      <c r="L147" s="15">
        <v>26155667</v>
      </c>
      <c r="M147" s="15">
        <v>0</v>
      </c>
      <c r="N147" s="15">
        <v>58423328.009999998</v>
      </c>
      <c r="O147" s="15">
        <v>11339461.41</v>
      </c>
      <c r="P147" s="15">
        <v>257262.96</v>
      </c>
      <c r="Q147" s="15">
        <v>1045180.01</v>
      </c>
      <c r="R147" s="15">
        <v>805832.2</v>
      </c>
      <c r="S147" s="15">
        <v>902026.4</v>
      </c>
      <c r="T147" s="15">
        <v>0</v>
      </c>
      <c r="U147" s="15">
        <v>0</v>
      </c>
      <c r="V147" s="15">
        <v>0</v>
      </c>
      <c r="W147" s="15">
        <f t="shared" si="22"/>
        <v>72773090.99000001</v>
      </c>
      <c r="X147" s="15">
        <v>0</v>
      </c>
      <c r="Y147" s="15">
        <v>130802.66</v>
      </c>
      <c r="Z147" s="15">
        <v>419227.74</v>
      </c>
      <c r="AA147" s="15">
        <v>0</v>
      </c>
      <c r="AB147" s="15">
        <f t="shared" si="23"/>
        <v>550030.4</v>
      </c>
      <c r="AC147" s="15">
        <v>0</v>
      </c>
      <c r="AD147" s="15">
        <v>34671916.240000002</v>
      </c>
      <c r="AE147" s="15">
        <v>0</v>
      </c>
      <c r="AF147" s="15">
        <f t="shared" si="24"/>
        <v>34671916.240000002</v>
      </c>
      <c r="AG147" s="15">
        <v>0</v>
      </c>
      <c r="AH147" s="15">
        <v>513333.80000000005</v>
      </c>
      <c r="AI147" s="15">
        <v>0</v>
      </c>
      <c r="AJ147" s="16"/>
      <c r="AK147" s="15">
        <f t="shared" si="25"/>
        <v>47495274.210000001</v>
      </c>
      <c r="AL147" s="17">
        <f t="shared" si="26"/>
        <v>73323121.390000015</v>
      </c>
      <c r="AM147" s="22">
        <v>0</v>
      </c>
      <c r="AN147" s="34"/>
      <c r="AO147" s="15">
        <f t="shared" si="27"/>
        <v>156003645.64000002</v>
      </c>
      <c r="AP147" s="15">
        <f t="shared" si="28"/>
        <v>156003645.64000002</v>
      </c>
      <c r="AQ147" s="15">
        <f t="shared" si="29"/>
        <v>120818395.60000002</v>
      </c>
    </row>
    <row r="148" spans="2:47" s="20" customFormat="1" x14ac:dyDescent="0.25">
      <c r="B148" s="32">
        <v>43800</v>
      </c>
      <c r="C148" s="15">
        <v>7136606.6900000004</v>
      </c>
      <c r="D148" s="16">
        <v>0</v>
      </c>
      <c r="E148" s="15">
        <v>12227171.07</v>
      </c>
      <c r="F148" s="15">
        <v>503564.77</v>
      </c>
      <c r="G148" s="15">
        <f t="shared" si="20"/>
        <v>19867342.530000001</v>
      </c>
      <c r="H148" s="15">
        <v>4946167.9800000004</v>
      </c>
      <c r="I148" s="15">
        <v>1821718.76</v>
      </c>
      <c r="J148" s="15">
        <v>4302796.1999999993</v>
      </c>
      <c r="K148" s="15">
        <f t="shared" si="21"/>
        <v>30938025.470000003</v>
      </c>
      <c r="L148" s="15">
        <v>14437220</v>
      </c>
      <c r="M148" s="15">
        <v>0</v>
      </c>
      <c r="N148" s="15">
        <v>76830448.030000001</v>
      </c>
      <c r="O148" s="15">
        <v>7907240.5699999994</v>
      </c>
      <c r="P148" s="15">
        <v>257262.96</v>
      </c>
      <c r="Q148" s="15">
        <v>1026940.71</v>
      </c>
      <c r="R148" s="15">
        <v>908370.94</v>
      </c>
      <c r="S148" s="15">
        <v>689119.14</v>
      </c>
      <c r="T148" s="15">
        <v>0</v>
      </c>
      <c r="U148" s="15">
        <v>0</v>
      </c>
      <c r="V148" s="15">
        <v>42592849.039999999</v>
      </c>
      <c r="W148" s="15">
        <f t="shared" si="22"/>
        <v>130212231.38999999</v>
      </c>
      <c r="X148" s="15">
        <v>0</v>
      </c>
      <c r="Y148" s="15">
        <v>130802.66</v>
      </c>
      <c r="Z148" s="15">
        <v>504189.65</v>
      </c>
      <c r="AA148" s="15">
        <v>0</v>
      </c>
      <c r="AB148" s="15">
        <f t="shared" si="23"/>
        <v>634992.31000000006</v>
      </c>
      <c r="AC148" s="15">
        <v>0</v>
      </c>
      <c r="AD148" s="15">
        <v>34671916.469999999</v>
      </c>
      <c r="AE148" s="15">
        <v>10408974.289999999</v>
      </c>
      <c r="AF148" s="15">
        <f t="shared" si="24"/>
        <v>45080890.759999998</v>
      </c>
      <c r="AG148" s="15">
        <v>0</v>
      </c>
      <c r="AH148" s="15">
        <v>1670069.77</v>
      </c>
      <c r="AI148" s="15">
        <v>0</v>
      </c>
      <c r="AJ148" s="16"/>
      <c r="AK148" s="15">
        <f t="shared" si="25"/>
        <v>45375245.469999999</v>
      </c>
      <c r="AL148" s="17">
        <f t="shared" si="26"/>
        <v>130847223.69999999</v>
      </c>
      <c r="AM148" s="22">
        <v>0</v>
      </c>
      <c r="AN148" s="34"/>
      <c r="AO148" s="15">
        <f t="shared" si="27"/>
        <v>222973429.69999999</v>
      </c>
      <c r="AP148" s="15">
        <f t="shared" si="28"/>
        <v>222973429.69999999</v>
      </c>
      <c r="AQ148" s="15">
        <f t="shared" si="29"/>
        <v>176222469.16999999</v>
      </c>
    </row>
    <row r="149" spans="2:47" s="20" customFormat="1" x14ac:dyDescent="0.25">
      <c r="B149" s="14">
        <v>43831</v>
      </c>
      <c r="C149" s="15">
        <v>101265165.48</v>
      </c>
      <c r="D149" s="15">
        <v>0</v>
      </c>
      <c r="E149" s="15">
        <v>5480750.6600000001</v>
      </c>
      <c r="F149" s="15">
        <v>2313453.2199999997</v>
      </c>
      <c r="G149" s="15">
        <f t="shared" si="20"/>
        <v>109059369.36</v>
      </c>
      <c r="H149" s="15">
        <v>9154300.0399999991</v>
      </c>
      <c r="I149" s="15">
        <v>2037003.22</v>
      </c>
      <c r="J149" s="15">
        <v>3861255.0199999996</v>
      </c>
      <c r="K149" s="15">
        <f t="shared" si="21"/>
        <v>124111927.64</v>
      </c>
      <c r="L149" s="15">
        <v>12303681</v>
      </c>
      <c r="M149" s="15">
        <v>0</v>
      </c>
      <c r="N149" s="15">
        <v>82689611.969999999</v>
      </c>
      <c r="O149" s="15">
        <v>8842330.5199999996</v>
      </c>
      <c r="P149" s="15">
        <v>462498.07</v>
      </c>
      <c r="Q149" s="15">
        <v>1015375.99</v>
      </c>
      <c r="R149" s="15">
        <v>730429.9</v>
      </c>
      <c r="S149" s="15">
        <v>647305.82999999996</v>
      </c>
      <c r="T149" s="15">
        <v>0</v>
      </c>
      <c r="U149" s="15">
        <v>0</v>
      </c>
      <c r="V149" s="15">
        <v>0</v>
      </c>
      <c r="W149" s="15">
        <f t="shared" si="22"/>
        <v>94387552.279999986</v>
      </c>
      <c r="X149" s="15">
        <v>0</v>
      </c>
      <c r="Y149" s="15">
        <v>137419.21</v>
      </c>
      <c r="Z149" s="15">
        <v>0</v>
      </c>
      <c r="AA149" s="15">
        <v>0</v>
      </c>
      <c r="AB149" s="15">
        <f t="shared" si="23"/>
        <v>137419.21</v>
      </c>
      <c r="AC149" s="15">
        <f>18157080.4-284639.4</f>
        <v>17872441</v>
      </c>
      <c r="AD149" s="15">
        <f>35825565.94-6266.94</f>
        <v>35819299</v>
      </c>
      <c r="AE149" s="15">
        <v>0</v>
      </c>
      <c r="AF149" s="15">
        <f t="shared" si="24"/>
        <v>53691740</v>
      </c>
      <c r="AG149" s="15">
        <v>0</v>
      </c>
      <c r="AH149" s="15">
        <v>290906.34000000003</v>
      </c>
      <c r="AI149" s="15">
        <v>0</v>
      </c>
      <c r="AJ149" s="16"/>
      <c r="AK149" s="15">
        <f t="shared" si="25"/>
        <v>136415608.63999999</v>
      </c>
      <c r="AL149" s="17">
        <f t="shared" si="26"/>
        <v>94524971.48999998</v>
      </c>
      <c r="AM149" s="22">
        <v>-111386.26</v>
      </c>
      <c r="AN149" s="34"/>
      <c r="AO149" s="15">
        <f t="shared" si="27"/>
        <v>284811840.20999998</v>
      </c>
      <c r="AP149" s="15">
        <f t="shared" si="28"/>
        <v>284923226.46999997</v>
      </c>
      <c r="AQ149" s="15">
        <f t="shared" si="29"/>
        <v>230940580.12999997</v>
      </c>
      <c r="AU149" s="33"/>
    </row>
    <row r="150" spans="2:47" s="20" customFormat="1" x14ac:dyDescent="0.25">
      <c r="B150" s="21">
        <v>43862</v>
      </c>
      <c r="C150" s="15">
        <v>15049400</v>
      </c>
      <c r="D150" s="15">
        <v>0</v>
      </c>
      <c r="E150" s="15">
        <v>5263375.3899999997</v>
      </c>
      <c r="F150" s="15">
        <v>1041019.14</v>
      </c>
      <c r="G150" s="15">
        <f t="shared" si="20"/>
        <v>21353794.530000001</v>
      </c>
      <c r="H150" s="15">
        <v>6032869.1900000004</v>
      </c>
      <c r="I150" s="15">
        <v>262537.94</v>
      </c>
      <c r="J150" s="15">
        <v>3397165.47</v>
      </c>
      <c r="K150" s="15">
        <f t="shared" si="21"/>
        <v>31046367.130000003</v>
      </c>
      <c r="L150" s="15">
        <v>0</v>
      </c>
      <c r="M150" s="15">
        <v>0</v>
      </c>
      <c r="N150" s="15">
        <v>120872903.92</v>
      </c>
      <c r="O150" s="15">
        <v>14342815.529999999</v>
      </c>
      <c r="P150" s="15">
        <v>257262.96</v>
      </c>
      <c r="Q150" s="15">
        <v>1056155.79</v>
      </c>
      <c r="R150" s="15">
        <v>1060540.18</v>
      </c>
      <c r="S150" s="15">
        <v>730695.37</v>
      </c>
      <c r="T150" s="15">
        <v>0</v>
      </c>
      <c r="U150" s="15">
        <v>0</v>
      </c>
      <c r="V150" s="15">
        <v>8512874.9399999995</v>
      </c>
      <c r="W150" s="15">
        <f t="shared" si="22"/>
        <v>146833248.69</v>
      </c>
      <c r="X150" s="15">
        <v>468.98</v>
      </c>
      <c r="Y150" s="15">
        <v>137419.21</v>
      </c>
      <c r="Z150" s="15">
        <v>636974.4</v>
      </c>
      <c r="AA150" s="15">
        <v>0</v>
      </c>
      <c r="AB150" s="15">
        <f t="shared" si="23"/>
        <v>774862.59000000008</v>
      </c>
      <c r="AC150" s="15">
        <f>17960764.27-88323.27</f>
        <v>17872441</v>
      </c>
      <c r="AD150" s="15">
        <f>35820870.44-1571.44</f>
        <v>35819299</v>
      </c>
      <c r="AE150" s="15">
        <v>0</v>
      </c>
      <c r="AF150" s="15">
        <f t="shared" si="24"/>
        <v>53691740</v>
      </c>
      <c r="AG150" s="15">
        <v>0</v>
      </c>
      <c r="AH150" s="15">
        <v>89894.71</v>
      </c>
      <c r="AI150" s="15">
        <v>0</v>
      </c>
      <c r="AJ150" s="16"/>
      <c r="AK150" s="15">
        <f t="shared" si="25"/>
        <v>31046367.130000003</v>
      </c>
      <c r="AL150" s="17">
        <f t="shared" si="26"/>
        <v>147608111.28</v>
      </c>
      <c r="AM150" s="22">
        <v>0</v>
      </c>
      <c r="AN150" s="34"/>
      <c r="AO150" s="15">
        <f t="shared" si="27"/>
        <v>232436113.12</v>
      </c>
      <c r="AP150" s="15">
        <f t="shared" si="28"/>
        <v>232436113.12</v>
      </c>
      <c r="AQ150" s="15">
        <f t="shared" si="29"/>
        <v>178654478.41</v>
      </c>
    </row>
    <row r="151" spans="2:47" s="20" customFormat="1" x14ac:dyDescent="0.25">
      <c r="B151" s="23">
        <v>43891</v>
      </c>
      <c r="C151" s="15">
        <v>8988445.9299999997</v>
      </c>
      <c r="D151" s="15">
        <v>0</v>
      </c>
      <c r="E151" s="15">
        <v>5282111.6500000004</v>
      </c>
      <c r="F151" s="15">
        <v>1333249.52</v>
      </c>
      <c r="G151" s="15">
        <f t="shared" si="20"/>
        <v>15603807.1</v>
      </c>
      <c r="H151" s="15">
        <v>5635962.9299999997</v>
      </c>
      <c r="I151" s="15">
        <v>997837.36</v>
      </c>
      <c r="J151" s="15">
        <v>3814802.6400000006</v>
      </c>
      <c r="K151" s="15">
        <f t="shared" si="21"/>
        <v>26052410.030000001</v>
      </c>
      <c r="L151" s="15">
        <v>23583450</v>
      </c>
      <c r="M151" s="15">
        <v>0</v>
      </c>
      <c r="N151" s="15">
        <v>82982913.590000004</v>
      </c>
      <c r="O151" s="15">
        <v>8882776.5700000003</v>
      </c>
      <c r="P151" s="15">
        <v>257262.96</v>
      </c>
      <c r="Q151" s="15">
        <v>1059127.1399999999</v>
      </c>
      <c r="R151" s="15">
        <v>662587.82999999996</v>
      </c>
      <c r="S151" s="15">
        <v>745534.87</v>
      </c>
      <c r="T151" s="15">
        <v>0</v>
      </c>
      <c r="U151" s="15">
        <v>0</v>
      </c>
      <c r="V151" s="15">
        <v>2690627.39</v>
      </c>
      <c r="W151" s="15">
        <f t="shared" si="22"/>
        <v>97280830.349999994</v>
      </c>
      <c r="X151" s="15">
        <v>0</v>
      </c>
      <c r="Y151" s="15">
        <v>137419.21</v>
      </c>
      <c r="Z151" s="15">
        <v>1276110.0099999998</v>
      </c>
      <c r="AA151" s="15">
        <v>0</v>
      </c>
      <c r="AB151" s="15">
        <f t="shared" si="23"/>
        <v>1413529.2199999997</v>
      </c>
      <c r="AC151" s="15">
        <f>18023699.05-151258.05</f>
        <v>17872441</v>
      </c>
      <c r="AD151" s="15">
        <f>36101738.16-282439.16</f>
        <v>35819299</v>
      </c>
      <c r="AE151" s="15">
        <v>0</v>
      </c>
      <c r="AF151" s="15">
        <f t="shared" si="24"/>
        <v>53691740</v>
      </c>
      <c r="AG151" s="15">
        <v>0</v>
      </c>
      <c r="AH151" s="15">
        <v>433697.20999999996</v>
      </c>
      <c r="AI151" s="15">
        <v>0</v>
      </c>
      <c r="AJ151" s="16"/>
      <c r="AK151" s="15">
        <f t="shared" si="25"/>
        <v>49635860.030000001</v>
      </c>
      <c r="AL151" s="17">
        <f t="shared" si="26"/>
        <v>98694359.569999993</v>
      </c>
      <c r="AM151" s="22">
        <v>0</v>
      </c>
      <c r="AN151" s="34"/>
      <c r="AO151" s="15">
        <f t="shared" si="27"/>
        <v>202455656.81</v>
      </c>
      <c r="AP151" s="15">
        <f t="shared" si="28"/>
        <v>202455656.81</v>
      </c>
      <c r="AQ151" s="15">
        <f t="shared" si="29"/>
        <v>148330219.59999999</v>
      </c>
    </row>
    <row r="152" spans="2:47" s="20" customFormat="1" x14ac:dyDescent="0.25">
      <c r="B152" s="24">
        <v>43922</v>
      </c>
      <c r="C152" s="15">
        <v>2806203.7899999991</v>
      </c>
      <c r="D152" s="15">
        <v>34268047</v>
      </c>
      <c r="E152" s="15">
        <v>3700348.72</v>
      </c>
      <c r="F152" s="15">
        <v>658216.73</v>
      </c>
      <c r="G152" s="15">
        <f t="shared" si="20"/>
        <v>41432816.239999995</v>
      </c>
      <c r="H152" s="15">
        <v>1984180.84</v>
      </c>
      <c r="I152" s="15">
        <v>1209553.8799999999</v>
      </c>
      <c r="J152" s="15">
        <v>1582543.8600000003</v>
      </c>
      <c r="K152" s="15">
        <f t="shared" si="21"/>
        <v>46209094.82</v>
      </c>
      <c r="L152" s="15">
        <v>6405982</v>
      </c>
      <c r="M152" s="15">
        <v>0</v>
      </c>
      <c r="N152" s="15">
        <v>124937047.11</v>
      </c>
      <c r="O152" s="15">
        <v>14936699.470000001</v>
      </c>
      <c r="P152" s="15">
        <v>804786.95</v>
      </c>
      <c r="Q152" s="15">
        <v>968551.18</v>
      </c>
      <c r="R152" s="15">
        <v>624760.21</v>
      </c>
      <c r="S152" s="15">
        <v>651561.80000000005</v>
      </c>
      <c r="T152" s="15">
        <v>0</v>
      </c>
      <c r="U152" s="15">
        <v>0</v>
      </c>
      <c r="V152" s="15">
        <v>57119.35</v>
      </c>
      <c r="W152" s="15">
        <f t="shared" si="22"/>
        <v>142980526.07000002</v>
      </c>
      <c r="X152" s="15">
        <v>0</v>
      </c>
      <c r="Y152" s="15">
        <v>137419.21</v>
      </c>
      <c r="Z152" s="15">
        <v>410795.98</v>
      </c>
      <c r="AA152" s="15">
        <v>0</v>
      </c>
      <c r="AB152" s="15">
        <f t="shared" si="23"/>
        <v>548215.18999999994</v>
      </c>
      <c r="AC152" s="15">
        <v>0</v>
      </c>
      <c r="AD152" s="15">
        <v>35819299</v>
      </c>
      <c r="AE152" s="15">
        <f>21549056.8+2188.79</f>
        <v>21551245.59</v>
      </c>
      <c r="AF152" s="15">
        <f t="shared" si="24"/>
        <v>57370544.590000004</v>
      </c>
      <c r="AG152" s="15">
        <v>0</v>
      </c>
      <c r="AH152" s="15">
        <v>-494432.79000000004</v>
      </c>
      <c r="AI152" s="15">
        <v>0</v>
      </c>
      <c r="AJ152" s="16"/>
      <c r="AK152" s="15">
        <f t="shared" si="25"/>
        <v>52615076.82</v>
      </c>
      <c r="AL152" s="17">
        <f t="shared" si="26"/>
        <v>143528741.26000002</v>
      </c>
      <c r="AM152" s="22">
        <v>-4852446.54</v>
      </c>
      <c r="AN152" s="34"/>
      <c r="AO152" s="15">
        <f t="shared" si="27"/>
        <v>248167483.34000003</v>
      </c>
      <c r="AP152" s="15">
        <f t="shared" si="28"/>
        <v>253019929.88000003</v>
      </c>
      <c r="AQ152" s="15">
        <f t="shared" si="29"/>
        <v>196143818.08000001</v>
      </c>
    </row>
    <row r="153" spans="2:47" s="20" customFormat="1" x14ac:dyDescent="0.25">
      <c r="B153" s="25">
        <v>43952</v>
      </c>
      <c r="C153" s="15">
        <v>2186842.7799999998</v>
      </c>
      <c r="D153" s="15">
        <v>0</v>
      </c>
      <c r="E153" s="15">
        <v>4064776.42</v>
      </c>
      <c r="F153" s="15">
        <v>117567.97</v>
      </c>
      <c r="G153" s="15">
        <f t="shared" si="20"/>
        <v>6369187.169999999</v>
      </c>
      <c r="H153" s="15">
        <v>1598418.7</v>
      </c>
      <c r="I153" s="15">
        <v>14323818.720000001</v>
      </c>
      <c r="J153" s="15">
        <v>1723216.1500000004</v>
      </c>
      <c r="K153" s="15">
        <f t="shared" si="21"/>
        <v>24014640.740000002</v>
      </c>
      <c r="L153" s="15">
        <v>13075209</v>
      </c>
      <c r="M153" s="15">
        <v>0</v>
      </c>
      <c r="N153" s="15">
        <v>89060306.760000005</v>
      </c>
      <c r="O153" s="15">
        <v>8245316.9299999997</v>
      </c>
      <c r="P153" s="15">
        <v>268356.06</v>
      </c>
      <c r="Q153" s="15">
        <v>1046202.67</v>
      </c>
      <c r="R153" s="15">
        <v>598713.91</v>
      </c>
      <c r="S153" s="15">
        <v>730918.9</v>
      </c>
      <c r="T153" s="15">
        <v>0</v>
      </c>
      <c r="U153" s="15">
        <v>0</v>
      </c>
      <c r="V153" s="15">
        <v>0</v>
      </c>
      <c r="W153" s="15">
        <f t="shared" si="22"/>
        <v>99949815.230000004</v>
      </c>
      <c r="X153" s="15">
        <v>0</v>
      </c>
      <c r="Y153" s="15">
        <v>137419.21</v>
      </c>
      <c r="Z153" s="15">
        <v>379129.42</v>
      </c>
      <c r="AA153" s="15">
        <v>0</v>
      </c>
      <c r="AB153" s="15">
        <f t="shared" si="23"/>
        <v>516548.63</v>
      </c>
      <c r="AC153" s="15">
        <v>17872441</v>
      </c>
      <c r="AD153" s="15">
        <v>35819299</v>
      </c>
      <c r="AE153" s="15">
        <v>0</v>
      </c>
      <c r="AF153" s="15">
        <f t="shared" si="24"/>
        <v>53691740</v>
      </c>
      <c r="AG153" s="15">
        <v>0</v>
      </c>
      <c r="AH153" s="15">
        <v>474260.19</v>
      </c>
      <c r="AI153" s="15">
        <v>0</v>
      </c>
      <c r="AJ153" s="16"/>
      <c r="AK153" s="15">
        <f t="shared" si="25"/>
        <v>37089849.740000002</v>
      </c>
      <c r="AL153" s="17">
        <f t="shared" si="26"/>
        <v>100466363.86</v>
      </c>
      <c r="AM153" s="22">
        <v>0</v>
      </c>
      <c r="AN153" s="34"/>
      <c r="AO153" s="15">
        <f t="shared" si="27"/>
        <v>191722213.79000002</v>
      </c>
      <c r="AP153" s="15">
        <f t="shared" si="28"/>
        <v>191722213.79000002</v>
      </c>
      <c r="AQ153" s="15">
        <f t="shared" si="29"/>
        <v>137556213.59999999</v>
      </c>
    </row>
    <row r="154" spans="2:47" s="20" customFormat="1" x14ac:dyDescent="0.25">
      <c r="B154" s="26">
        <v>43983</v>
      </c>
      <c r="C154" s="15">
        <v>1653143.88</v>
      </c>
      <c r="D154" s="15">
        <v>0</v>
      </c>
      <c r="E154" s="15">
        <v>6069318.25</v>
      </c>
      <c r="F154" s="15">
        <v>66751.98</v>
      </c>
      <c r="G154" s="15">
        <f t="shared" si="20"/>
        <v>7789214.1100000003</v>
      </c>
      <c r="H154" s="15">
        <v>1531846.95</v>
      </c>
      <c r="I154" s="15">
        <v>40138.06</v>
      </c>
      <c r="J154" s="15">
        <v>941560.13</v>
      </c>
      <c r="K154" s="15">
        <f t="shared" si="21"/>
        <v>10302759.250000002</v>
      </c>
      <c r="L154" s="16">
        <v>0</v>
      </c>
      <c r="M154" s="15">
        <v>0</v>
      </c>
      <c r="N154" s="15">
        <v>68196909.890000001</v>
      </c>
      <c r="O154" s="15">
        <v>9470449.2100000009</v>
      </c>
      <c r="P154" s="15">
        <v>257262.96</v>
      </c>
      <c r="Q154" s="15">
        <v>864893.27</v>
      </c>
      <c r="R154" s="15">
        <v>61608.12</v>
      </c>
      <c r="S154" s="15">
        <v>704904.77</v>
      </c>
      <c r="T154" s="15">
        <v>0</v>
      </c>
      <c r="U154" s="15">
        <v>0</v>
      </c>
      <c r="V154" s="15">
        <v>0</v>
      </c>
      <c r="W154" s="15">
        <f t="shared" si="22"/>
        <v>79556028.219999984</v>
      </c>
      <c r="X154" s="15">
        <v>0</v>
      </c>
      <c r="Y154" s="15">
        <v>137419.21</v>
      </c>
      <c r="Z154" s="15">
        <v>174140.1</v>
      </c>
      <c r="AA154" s="15">
        <v>0</v>
      </c>
      <c r="AB154" s="15">
        <f t="shared" si="23"/>
        <v>311559.31</v>
      </c>
      <c r="AC154" s="15">
        <v>35744882</v>
      </c>
      <c r="AD154" s="15">
        <v>35819299</v>
      </c>
      <c r="AE154" s="15">
        <v>362572.79999999999</v>
      </c>
      <c r="AF154" s="15">
        <f t="shared" si="24"/>
        <v>71926753.799999997</v>
      </c>
      <c r="AG154" s="15">
        <v>0</v>
      </c>
      <c r="AH154" s="15">
        <v>260309.43</v>
      </c>
      <c r="AI154" s="15">
        <v>55157999.549999997</v>
      </c>
      <c r="AJ154" s="16"/>
      <c r="AK154" s="15">
        <f t="shared" si="25"/>
        <v>10302759.250000002</v>
      </c>
      <c r="AL154" s="17">
        <f t="shared" si="26"/>
        <v>79867587.529999986</v>
      </c>
      <c r="AM154" s="22">
        <v>-692</v>
      </c>
      <c r="AN154" s="34"/>
      <c r="AO154" s="15">
        <f t="shared" si="27"/>
        <v>217514717.56</v>
      </c>
      <c r="AP154" s="15">
        <f t="shared" si="28"/>
        <v>162357410.00999999</v>
      </c>
      <c r="AQ154" s="15">
        <f t="shared" si="29"/>
        <v>90170346.779999986</v>
      </c>
    </row>
    <row r="155" spans="2:47" s="20" customFormat="1" x14ac:dyDescent="0.25">
      <c r="B155" s="27">
        <v>44013</v>
      </c>
      <c r="C155" s="15">
        <v>2722718.31</v>
      </c>
      <c r="D155" s="15">
        <v>0</v>
      </c>
      <c r="E155" s="15">
        <v>4715995.84</v>
      </c>
      <c r="F155" s="15">
        <v>164659.49</v>
      </c>
      <c r="G155" s="15">
        <f t="shared" si="20"/>
        <v>7603373.6400000006</v>
      </c>
      <c r="H155" s="15">
        <v>2867250.21</v>
      </c>
      <c r="I155" s="15">
        <v>1364992.09</v>
      </c>
      <c r="J155" s="15">
        <v>2241478.96</v>
      </c>
      <c r="K155" s="15">
        <f t="shared" si="21"/>
        <v>14077094.900000002</v>
      </c>
      <c r="L155" s="15">
        <v>4721994.8600000003</v>
      </c>
      <c r="M155" s="15">
        <v>279912.42</v>
      </c>
      <c r="N155" s="15">
        <v>77692190.030000001</v>
      </c>
      <c r="O155" s="15">
        <v>8371604.1900000004</v>
      </c>
      <c r="P155" s="15">
        <v>646141.55000000005</v>
      </c>
      <c r="Q155" s="15">
        <v>733173.97</v>
      </c>
      <c r="R155" s="15">
        <v>456576.2</v>
      </c>
      <c r="S155" s="15">
        <v>586673.53</v>
      </c>
      <c r="T155" s="15">
        <v>0</v>
      </c>
      <c r="U155" s="15">
        <v>0</v>
      </c>
      <c r="V155" s="15">
        <v>40163467.660000004</v>
      </c>
      <c r="W155" s="15">
        <f t="shared" si="22"/>
        <v>128649827.13</v>
      </c>
      <c r="X155" s="15">
        <v>0</v>
      </c>
      <c r="Y155" s="15">
        <v>137419.21</v>
      </c>
      <c r="Z155" s="15">
        <v>249045.16</v>
      </c>
      <c r="AA155" s="15">
        <v>0</v>
      </c>
      <c r="AB155" s="15">
        <f t="shared" si="23"/>
        <v>386464.37</v>
      </c>
      <c r="AC155" s="15">
        <v>17872441</v>
      </c>
      <c r="AD155" s="15">
        <v>35819299</v>
      </c>
      <c r="AE155" s="15">
        <v>0</v>
      </c>
      <c r="AF155" s="15">
        <f t="shared" si="24"/>
        <v>53691740</v>
      </c>
      <c r="AG155" s="15">
        <v>0</v>
      </c>
      <c r="AH155" s="15">
        <v>591868.48</v>
      </c>
      <c r="AI155" s="15">
        <v>0</v>
      </c>
      <c r="AJ155" s="16"/>
      <c r="AK155" s="15">
        <f t="shared" si="25"/>
        <v>19079002.180000003</v>
      </c>
      <c r="AL155" s="17">
        <f t="shared" si="26"/>
        <v>129036291.5</v>
      </c>
      <c r="AM155" s="22">
        <v>0</v>
      </c>
      <c r="AN155" s="34"/>
      <c r="AO155" s="15">
        <f t="shared" si="27"/>
        <v>202398902.16</v>
      </c>
      <c r="AP155" s="15">
        <f t="shared" si="28"/>
        <v>202398902.16</v>
      </c>
      <c r="AQ155" s="15">
        <f t="shared" si="29"/>
        <v>148115293.68000001</v>
      </c>
    </row>
    <row r="156" spans="2:47" s="20" customFormat="1" x14ac:dyDescent="0.25">
      <c r="B156" s="28">
        <v>44044</v>
      </c>
      <c r="C156" s="15">
        <v>4211511.47</v>
      </c>
      <c r="D156" s="15">
        <v>0</v>
      </c>
      <c r="E156" s="15">
        <v>5086957.3</v>
      </c>
      <c r="F156" s="15">
        <v>79058.7</v>
      </c>
      <c r="G156" s="15">
        <f t="shared" si="20"/>
        <v>9377527.4699999988</v>
      </c>
      <c r="H156" s="15">
        <v>2405372.46</v>
      </c>
      <c r="I156" s="15">
        <v>3117246.99</v>
      </c>
      <c r="J156" s="15">
        <v>2159931.7100000004</v>
      </c>
      <c r="K156" s="15">
        <f t="shared" si="21"/>
        <v>17060078.629999999</v>
      </c>
      <c r="L156" s="15">
        <v>7829208.0199999996</v>
      </c>
      <c r="M156" s="15">
        <v>491760.02</v>
      </c>
      <c r="N156" s="15">
        <v>77594836.319999993</v>
      </c>
      <c r="O156" s="15">
        <v>8356986.4300000006</v>
      </c>
      <c r="P156" s="15">
        <v>257262.96</v>
      </c>
      <c r="Q156" s="15">
        <v>797903.4</v>
      </c>
      <c r="R156" s="15">
        <v>654417.26</v>
      </c>
      <c r="S156" s="15">
        <v>630604.59</v>
      </c>
      <c r="T156" s="15">
        <v>0</v>
      </c>
      <c r="U156" s="15">
        <v>0</v>
      </c>
      <c r="V156" s="15">
        <v>22151734.530000001</v>
      </c>
      <c r="W156" s="15">
        <f t="shared" si="22"/>
        <v>110443745.49000001</v>
      </c>
      <c r="X156" s="15">
        <v>0</v>
      </c>
      <c r="Y156" s="15">
        <v>137419.21</v>
      </c>
      <c r="Z156" s="15">
        <v>266253.48</v>
      </c>
      <c r="AA156" s="15">
        <v>0</v>
      </c>
      <c r="AB156" s="15">
        <f t="shared" si="23"/>
        <v>403672.68999999994</v>
      </c>
      <c r="AC156" s="15">
        <v>17872441</v>
      </c>
      <c r="AD156" s="15">
        <v>35819299</v>
      </c>
      <c r="AE156" s="15">
        <v>0</v>
      </c>
      <c r="AF156" s="15">
        <f t="shared" si="24"/>
        <v>53691740</v>
      </c>
      <c r="AG156" s="15">
        <v>0</v>
      </c>
      <c r="AH156" s="15">
        <v>472651.68999999994</v>
      </c>
      <c r="AI156" s="15">
        <v>0</v>
      </c>
      <c r="AJ156" s="16"/>
      <c r="AK156" s="15">
        <f t="shared" si="25"/>
        <v>25381046.669999998</v>
      </c>
      <c r="AL156" s="17">
        <f t="shared" si="26"/>
        <v>110847418.18000001</v>
      </c>
      <c r="AM156" s="22">
        <v>-8229.49</v>
      </c>
      <c r="AN156" s="34"/>
      <c r="AO156" s="15">
        <f t="shared" si="27"/>
        <v>190384627.05000001</v>
      </c>
      <c r="AP156" s="15">
        <f t="shared" si="28"/>
        <v>190392856.54000002</v>
      </c>
      <c r="AQ156" s="15">
        <f t="shared" si="29"/>
        <v>136228464.84999999</v>
      </c>
    </row>
    <row r="157" spans="2:47" s="20" customFormat="1" x14ac:dyDescent="0.25">
      <c r="B157" s="29">
        <v>44075</v>
      </c>
      <c r="C157" s="15">
        <v>4508805.4400000004</v>
      </c>
      <c r="D157" s="15">
        <v>0</v>
      </c>
      <c r="E157" s="15">
        <v>4371877.53</v>
      </c>
      <c r="F157" s="15">
        <v>196416.2</v>
      </c>
      <c r="G157" s="15">
        <f t="shared" si="20"/>
        <v>9077099.1699999999</v>
      </c>
      <c r="H157" s="15">
        <v>3582768.17</v>
      </c>
      <c r="I157" s="15">
        <v>1146879.92</v>
      </c>
      <c r="J157" s="15">
        <v>2766755.2299999995</v>
      </c>
      <c r="K157" s="15">
        <f t="shared" si="21"/>
        <v>16573502.489999998</v>
      </c>
      <c r="L157" s="15">
        <v>12446491.880000001</v>
      </c>
      <c r="M157" s="15">
        <v>31369.88</v>
      </c>
      <c r="N157" s="15">
        <v>76549220.219999999</v>
      </c>
      <c r="O157" s="15">
        <v>8188914.75</v>
      </c>
      <c r="P157" s="15">
        <v>257262.96</v>
      </c>
      <c r="Q157" s="15">
        <v>922328.35</v>
      </c>
      <c r="R157" s="15">
        <v>693108.52</v>
      </c>
      <c r="S157" s="15">
        <v>645014.91</v>
      </c>
      <c r="T157" s="15">
        <v>0</v>
      </c>
      <c r="U157" s="15">
        <v>0</v>
      </c>
      <c r="V157" s="15">
        <v>23791059.010000002</v>
      </c>
      <c r="W157" s="15">
        <f t="shared" si="22"/>
        <v>111046908.71999998</v>
      </c>
      <c r="X157" s="15">
        <v>0</v>
      </c>
      <c r="Y157" s="15">
        <v>137419.21</v>
      </c>
      <c r="Z157" s="15">
        <v>350805.9</v>
      </c>
      <c r="AA157" s="15">
        <v>0</v>
      </c>
      <c r="AB157" s="15">
        <f t="shared" si="23"/>
        <v>488225.11</v>
      </c>
      <c r="AC157" s="15">
        <v>17872441</v>
      </c>
      <c r="AD157" s="15">
        <v>35819299</v>
      </c>
      <c r="AE157" s="15">
        <v>241715.20000000001</v>
      </c>
      <c r="AF157" s="15">
        <f t="shared" si="24"/>
        <v>53933455.200000003</v>
      </c>
      <c r="AG157" s="15">
        <v>0</v>
      </c>
      <c r="AH157" s="15">
        <v>488147.64</v>
      </c>
      <c r="AI157" s="15">
        <v>0</v>
      </c>
      <c r="AJ157" s="16"/>
      <c r="AK157" s="15">
        <f>K157+L157+M157</f>
        <v>29051364.249999996</v>
      </c>
      <c r="AL157" s="17">
        <f t="shared" si="26"/>
        <v>111535133.82999998</v>
      </c>
      <c r="AM157" s="22">
        <v>2376192.41</v>
      </c>
      <c r="AN157" s="34"/>
      <c r="AO157" s="15">
        <f t="shared" si="27"/>
        <v>197384293.32999998</v>
      </c>
      <c r="AP157" s="15">
        <f t="shared" si="28"/>
        <v>195008100.91999999</v>
      </c>
      <c r="AQ157" s="15">
        <f t="shared" si="29"/>
        <v>140586498.07999998</v>
      </c>
    </row>
    <row r="158" spans="2:47" s="20" customFormat="1" x14ac:dyDescent="0.25">
      <c r="B158" s="30">
        <v>44105</v>
      </c>
      <c r="C158" s="15">
        <v>4201296</v>
      </c>
      <c r="D158" s="15">
        <v>0</v>
      </c>
      <c r="E158" s="15">
        <v>5782235.3899999997</v>
      </c>
      <c r="F158" s="15">
        <v>730612.26</v>
      </c>
      <c r="G158" s="15">
        <f t="shared" si="20"/>
        <v>10714143.65</v>
      </c>
      <c r="H158" s="15">
        <v>4110435.81</v>
      </c>
      <c r="I158" s="15">
        <v>11225116.939999999</v>
      </c>
      <c r="J158" s="15">
        <v>3206841.09</v>
      </c>
      <c r="K158" s="15">
        <f t="shared" si="21"/>
        <v>29256537.489999998</v>
      </c>
      <c r="L158" s="15">
        <v>7405110</v>
      </c>
      <c r="M158" s="15">
        <v>0</v>
      </c>
      <c r="N158" s="15">
        <v>74972390.760000005</v>
      </c>
      <c r="O158" s="15">
        <v>8248308.4000000004</v>
      </c>
      <c r="P158" s="15">
        <v>505383.73</v>
      </c>
      <c r="Q158" s="15">
        <v>847441.88</v>
      </c>
      <c r="R158" s="15">
        <v>1127929.6499999999</v>
      </c>
      <c r="S158" s="15">
        <v>650366.44999999995</v>
      </c>
      <c r="T158" s="15">
        <v>0</v>
      </c>
      <c r="U158" s="15">
        <v>0</v>
      </c>
      <c r="V158" s="15">
        <v>15813050.34</v>
      </c>
      <c r="W158" s="15">
        <f t="shared" si="22"/>
        <v>102164871.21000002</v>
      </c>
      <c r="X158" s="15">
        <v>0</v>
      </c>
      <c r="Y158" s="15">
        <v>137419.21</v>
      </c>
      <c r="Z158" s="15">
        <v>382846.44000000006</v>
      </c>
      <c r="AA158" s="15">
        <v>0</v>
      </c>
      <c r="AB158" s="15">
        <f t="shared" si="23"/>
        <v>520265.65</v>
      </c>
      <c r="AC158" s="15">
        <v>17872440</v>
      </c>
      <c r="AD158" s="15">
        <v>35819299</v>
      </c>
      <c r="AE158" s="15">
        <v>0</v>
      </c>
      <c r="AF158" s="15">
        <f t="shared" si="24"/>
        <v>53691739</v>
      </c>
      <c r="AG158" s="15">
        <v>0</v>
      </c>
      <c r="AH158" s="15">
        <v>414259.06000000006</v>
      </c>
      <c r="AI158" s="15">
        <v>0</v>
      </c>
      <c r="AJ158" s="16"/>
      <c r="AK158" s="15">
        <f t="shared" si="25"/>
        <v>36661647.489999995</v>
      </c>
      <c r="AL158" s="17">
        <f t="shared" si="26"/>
        <v>102685136.86000003</v>
      </c>
      <c r="AM158" s="22">
        <v>-120737.64</v>
      </c>
      <c r="AN158" s="34"/>
      <c r="AO158" s="15">
        <f t="shared" si="27"/>
        <v>193332044.77000004</v>
      </c>
      <c r="AP158" s="15">
        <f t="shared" si="28"/>
        <v>193452782.41000003</v>
      </c>
      <c r="AQ158" s="15">
        <f t="shared" si="29"/>
        <v>139346784.35000002</v>
      </c>
    </row>
    <row r="159" spans="2:47" s="20" customFormat="1" x14ac:dyDescent="0.25">
      <c r="B159" s="31">
        <v>44136</v>
      </c>
      <c r="C159" s="15">
        <v>4556363.29</v>
      </c>
      <c r="D159" s="15">
        <v>0</v>
      </c>
      <c r="E159" s="15">
        <v>5620863.7699999996</v>
      </c>
      <c r="F159" s="15">
        <v>388955.4</v>
      </c>
      <c r="G159" s="15">
        <f t="shared" si="20"/>
        <v>10566182.459999999</v>
      </c>
      <c r="H159" s="15">
        <v>3512487.45</v>
      </c>
      <c r="I159" s="15">
        <v>2327226.42</v>
      </c>
      <c r="J159" s="15">
        <v>3027898.1700000009</v>
      </c>
      <c r="K159" s="15">
        <f t="shared" si="21"/>
        <v>19433794.5</v>
      </c>
      <c r="L159" s="15">
        <v>9423751</v>
      </c>
      <c r="M159" s="15">
        <v>45871.13</v>
      </c>
      <c r="N159" s="15">
        <v>79260611</v>
      </c>
      <c r="O159" s="15">
        <v>8618061.9100000001</v>
      </c>
      <c r="P159" s="15">
        <v>257262.96</v>
      </c>
      <c r="Q159" s="15">
        <v>862685.7</v>
      </c>
      <c r="R159" s="15">
        <v>768582.66</v>
      </c>
      <c r="S159" s="15">
        <v>662359.06999999995</v>
      </c>
      <c r="T159" s="15">
        <v>0</v>
      </c>
      <c r="U159" s="15">
        <v>0</v>
      </c>
      <c r="V159" s="15">
        <v>9016265.2699999996</v>
      </c>
      <c r="W159" s="15">
        <f t="shared" si="22"/>
        <v>99445828.569999978</v>
      </c>
      <c r="X159" s="15">
        <v>0</v>
      </c>
      <c r="Y159" s="15">
        <v>137419.21</v>
      </c>
      <c r="Z159" s="15">
        <v>379204.68000000005</v>
      </c>
      <c r="AA159" s="15">
        <v>0</v>
      </c>
      <c r="AB159" s="15">
        <f t="shared" si="23"/>
        <v>516623.89</v>
      </c>
      <c r="AC159" s="15">
        <v>0</v>
      </c>
      <c r="AD159" s="15">
        <v>35819299</v>
      </c>
      <c r="AE159" s="15">
        <v>5387264.2000000002</v>
      </c>
      <c r="AF159" s="15">
        <f t="shared" si="24"/>
        <v>41206563.200000003</v>
      </c>
      <c r="AG159" s="15">
        <v>0</v>
      </c>
      <c r="AH159" s="15">
        <v>399459.01</v>
      </c>
      <c r="AI159" s="15">
        <v>0</v>
      </c>
      <c r="AJ159" s="16"/>
      <c r="AK159" s="15">
        <f t="shared" si="25"/>
        <v>28903416.629999999</v>
      </c>
      <c r="AL159" s="17">
        <f t="shared" si="26"/>
        <v>99962452.459999979</v>
      </c>
      <c r="AM159" s="22">
        <v>979</v>
      </c>
      <c r="AN159" s="34"/>
      <c r="AO159" s="15">
        <f t="shared" si="27"/>
        <v>170472870.29999998</v>
      </c>
      <c r="AP159" s="15">
        <f t="shared" si="28"/>
        <v>170471891.29999998</v>
      </c>
      <c r="AQ159" s="15">
        <f t="shared" si="29"/>
        <v>128865869.08999997</v>
      </c>
    </row>
    <row r="160" spans="2:47" s="20" customFormat="1" x14ac:dyDescent="0.25">
      <c r="B160" s="32">
        <v>44166</v>
      </c>
      <c r="C160" s="15">
        <v>7547584.2300000004</v>
      </c>
      <c r="D160" s="15">
        <v>0</v>
      </c>
      <c r="E160" s="15">
        <v>8819202.2699999996</v>
      </c>
      <c r="F160" s="15">
        <f>800+211231+53616.12+40485+135831.14+148148</f>
        <v>590111.26</v>
      </c>
      <c r="G160" s="15">
        <f t="shared" si="20"/>
        <v>16956897.760000002</v>
      </c>
      <c r="H160" s="15">
        <v>4701664.6100000003</v>
      </c>
      <c r="I160" s="15">
        <v>1683226.01</v>
      </c>
      <c r="J160" s="15">
        <f>154+3313077.22</f>
        <v>3313231.22</v>
      </c>
      <c r="K160" s="15">
        <f t="shared" si="21"/>
        <v>26655019.600000001</v>
      </c>
      <c r="L160" s="15">
        <v>15534635</v>
      </c>
      <c r="M160" s="15">
        <v>65275.56</v>
      </c>
      <c r="N160" s="15">
        <v>81740423.969999999</v>
      </c>
      <c r="O160" s="15">
        <v>8894360.9399999995</v>
      </c>
      <c r="P160" s="15">
        <v>257262.96</v>
      </c>
      <c r="Q160" s="15">
        <v>986789.96</v>
      </c>
      <c r="R160" s="15">
        <v>726707.42999999993</v>
      </c>
      <c r="S160" s="15">
        <v>692324.55</v>
      </c>
      <c r="T160" s="15">
        <v>0</v>
      </c>
      <c r="U160" s="15">
        <v>0</v>
      </c>
      <c r="V160" s="15">
        <v>34518688.630000003</v>
      </c>
      <c r="W160" s="15">
        <f t="shared" si="22"/>
        <v>127816558.44</v>
      </c>
      <c r="X160" s="15">
        <v>0</v>
      </c>
      <c r="Y160" s="15">
        <v>137419.21</v>
      </c>
      <c r="Z160" s="15">
        <v>463077.43000000005</v>
      </c>
      <c r="AA160" s="15">
        <v>0</v>
      </c>
      <c r="AB160" s="15">
        <f t="shared" si="23"/>
        <v>600496.64000000001</v>
      </c>
      <c r="AC160" s="15">
        <v>0</v>
      </c>
      <c r="AD160" s="15">
        <v>35819299</v>
      </c>
      <c r="AE160" s="15">
        <v>0</v>
      </c>
      <c r="AF160" s="15">
        <f t="shared" si="24"/>
        <v>35819299</v>
      </c>
      <c r="AG160" s="15">
        <v>0</v>
      </c>
      <c r="AH160" s="15">
        <v>527231.9</v>
      </c>
      <c r="AI160" s="15">
        <v>0</v>
      </c>
      <c r="AJ160" s="16"/>
      <c r="AK160" s="15">
        <f t="shared" si="25"/>
        <v>42254930.160000004</v>
      </c>
      <c r="AL160" s="17">
        <f t="shared" si="26"/>
        <v>128417055.08</v>
      </c>
      <c r="AM160" s="22">
        <v>1833562.61</v>
      </c>
      <c r="AN160" s="34"/>
      <c r="AO160" s="15">
        <f t="shared" si="27"/>
        <v>208852078.75</v>
      </c>
      <c r="AP160" s="15">
        <f t="shared" si="28"/>
        <v>207018516.13999999</v>
      </c>
      <c r="AQ160" s="15">
        <f t="shared" si="29"/>
        <v>170671985.24000001</v>
      </c>
      <c r="AU160" s="33"/>
    </row>
    <row r="161" spans="2:48" s="20" customFormat="1" x14ac:dyDescent="0.25">
      <c r="B161" s="14">
        <v>44197</v>
      </c>
      <c r="C161" s="15">
        <v>97240864.829999998</v>
      </c>
      <c r="D161" s="15">
        <v>0</v>
      </c>
      <c r="E161" s="15">
        <v>1080709.01</v>
      </c>
      <c r="F161" s="15">
        <f>998453.79+198313</f>
        <v>1196766.79</v>
      </c>
      <c r="G161" s="15">
        <f t="shared" si="20"/>
        <v>99518340.63000001</v>
      </c>
      <c r="H161" s="15">
        <v>7177102.3399999999</v>
      </c>
      <c r="I161" s="15">
        <v>5830112.7699999996</v>
      </c>
      <c r="J161" s="15">
        <v>4019437.65</v>
      </c>
      <c r="K161" s="15">
        <f t="shared" si="21"/>
        <v>116544993.39000002</v>
      </c>
      <c r="L161" s="15">
        <v>0</v>
      </c>
      <c r="M161" s="15">
        <v>0</v>
      </c>
      <c r="N161" s="15">
        <v>86564222.569999993</v>
      </c>
      <c r="O161" s="15">
        <v>9663445.6600000001</v>
      </c>
      <c r="P161" s="15">
        <v>565346.26</v>
      </c>
      <c r="Q161" s="15">
        <v>864198.82</v>
      </c>
      <c r="R161" s="15">
        <v>693702.4</v>
      </c>
      <c r="S161" s="15">
        <v>640914.85</v>
      </c>
      <c r="T161" s="15">
        <v>0</v>
      </c>
      <c r="U161" s="15">
        <v>0</v>
      </c>
      <c r="V161" s="15">
        <v>0</v>
      </c>
      <c r="W161" s="15">
        <f t="shared" si="22"/>
        <v>98991830.559999987</v>
      </c>
      <c r="X161" s="15">
        <v>0</v>
      </c>
      <c r="Y161" s="15">
        <v>172073.51</v>
      </c>
      <c r="Z161" s="15">
        <v>711296.18</v>
      </c>
      <c r="AA161" s="15">
        <v>0</v>
      </c>
      <c r="AB161" s="15">
        <f t="shared" si="23"/>
        <v>883369.69000000006</v>
      </c>
      <c r="AC161" s="15">
        <v>21963918.609999999</v>
      </c>
      <c r="AD161" s="15">
        <v>35405416</v>
      </c>
      <c r="AE161" s="15">
        <v>0</v>
      </c>
      <c r="AF161" s="15">
        <f t="shared" si="24"/>
        <v>57369334.609999999</v>
      </c>
      <c r="AG161" s="15">
        <v>0</v>
      </c>
      <c r="AH161" s="15">
        <v>10524.59</v>
      </c>
      <c r="AI161" s="15">
        <v>0</v>
      </c>
      <c r="AJ161" s="16"/>
      <c r="AK161" s="15">
        <f t="shared" si="25"/>
        <v>116544993.39000002</v>
      </c>
      <c r="AL161" s="17">
        <f t="shared" si="26"/>
        <v>99875200.249999985</v>
      </c>
      <c r="AM161" s="22">
        <v>-1510258.68</v>
      </c>
      <c r="AN161" s="34"/>
      <c r="AO161" s="15">
        <f t="shared" si="27"/>
        <v>272289794.16000003</v>
      </c>
      <c r="AP161" s="15">
        <f t="shared" si="28"/>
        <v>273800052.84000003</v>
      </c>
      <c r="AQ161" s="15">
        <f t="shared" si="29"/>
        <v>216420193.63999999</v>
      </c>
    </row>
    <row r="162" spans="2:48" s="20" customFormat="1" x14ac:dyDescent="0.25">
      <c r="B162" s="21">
        <v>44228</v>
      </c>
      <c r="C162" s="15">
        <v>17293509.5</v>
      </c>
      <c r="D162" s="15">
        <v>0</v>
      </c>
      <c r="E162" s="15">
        <v>4149235.56</v>
      </c>
      <c r="F162" s="15">
        <f>5631.79+789+104758</f>
        <v>111178.79</v>
      </c>
      <c r="G162" s="15">
        <f t="shared" si="20"/>
        <v>21553923.849999998</v>
      </c>
      <c r="H162" s="15">
        <v>5482037.7999999998</v>
      </c>
      <c r="I162" s="15">
        <v>412512.4</v>
      </c>
      <c r="J162" s="15">
        <v>3065217.6999999993</v>
      </c>
      <c r="K162" s="15">
        <f t="shared" si="21"/>
        <v>30513691.749999996</v>
      </c>
      <c r="L162" s="15">
        <v>12097086</v>
      </c>
      <c r="M162" s="15">
        <v>134449.74</v>
      </c>
      <c r="N162" s="15">
        <v>131121515.34999999</v>
      </c>
      <c r="O162" s="15">
        <v>16416231.059999999</v>
      </c>
      <c r="P162" s="15">
        <v>257262.97</v>
      </c>
      <c r="Q162" s="15">
        <v>1034586.89</v>
      </c>
      <c r="R162" s="15">
        <v>1118975.9400000002</v>
      </c>
      <c r="S162" s="15">
        <v>755317.23</v>
      </c>
      <c r="T162" s="15">
        <v>0</v>
      </c>
      <c r="U162" s="15">
        <v>0</v>
      </c>
      <c r="V162" s="15">
        <v>4051813.09</v>
      </c>
      <c r="W162" s="15">
        <f t="shared" si="22"/>
        <v>154755702.52999997</v>
      </c>
      <c r="X162" s="15">
        <v>0</v>
      </c>
      <c r="Y162" s="15">
        <v>172073.51</v>
      </c>
      <c r="Z162" s="15">
        <v>890776.08</v>
      </c>
      <c r="AA162" s="15">
        <v>0</v>
      </c>
      <c r="AB162" s="15">
        <f t="shared" si="23"/>
        <v>1062849.5899999999</v>
      </c>
      <c r="AC162" s="15">
        <v>13071959.390000001</v>
      </c>
      <c r="AD162" s="15">
        <v>35405416</v>
      </c>
      <c r="AE162" s="15">
        <v>0</v>
      </c>
      <c r="AF162" s="15">
        <f t="shared" si="24"/>
        <v>48477375.390000001</v>
      </c>
      <c r="AG162" s="15">
        <v>0</v>
      </c>
      <c r="AH162" s="15">
        <v>130864.94</v>
      </c>
      <c r="AI162" s="15">
        <v>0</v>
      </c>
      <c r="AJ162" s="16"/>
      <c r="AK162" s="15">
        <f t="shared" si="25"/>
        <v>42745227.490000002</v>
      </c>
      <c r="AL162" s="17">
        <f t="shared" si="26"/>
        <v>155818552.11999997</v>
      </c>
      <c r="AM162" s="22">
        <v>-31909.56</v>
      </c>
      <c r="AN162" s="34"/>
      <c r="AO162" s="15">
        <f t="shared" si="27"/>
        <v>247140110.37999997</v>
      </c>
      <c r="AP162" s="15">
        <f t="shared" si="28"/>
        <v>247172019.93999997</v>
      </c>
      <c r="AQ162" s="15">
        <f t="shared" si="29"/>
        <v>198563779.60999998</v>
      </c>
    </row>
    <row r="163" spans="2:48" s="20" customFormat="1" x14ac:dyDescent="0.25">
      <c r="B163" s="23">
        <v>44256</v>
      </c>
      <c r="C163" s="15">
        <v>14148786.189999999</v>
      </c>
      <c r="D163" s="15">
        <v>0</v>
      </c>
      <c r="E163" s="15">
        <v>7192470.4000000004</v>
      </c>
      <c r="F163" s="15">
        <f>5631.79+192506+113965+24499</f>
        <v>336601.79000000004</v>
      </c>
      <c r="G163" s="15">
        <f t="shared" si="20"/>
        <v>21677858.379999999</v>
      </c>
      <c r="H163" s="15">
        <v>5055646.41</v>
      </c>
      <c r="I163" s="15">
        <v>2538752.25</v>
      </c>
      <c r="J163" s="15">
        <v>3636783.7699999996</v>
      </c>
      <c r="K163" s="15">
        <f t="shared" si="21"/>
        <v>32909040.809999999</v>
      </c>
      <c r="L163" s="15">
        <v>24713220</v>
      </c>
      <c r="M163" s="15">
        <v>48650.41</v>
      </c>
      <c r="N163" s="15">
        <v>80360693.129999995</v>
      </c>
      <c r="O163" s="15">
        <v>8857208.2799999993</v>
      </c>
      <c r="P163" s="15">
        <v>257262.96</v>
      </c>
      <c r="Q163" s="15">
        <v>918815.61</v>
      </c>
      <c r="R163" s="15">
        <v>709652.02</v>
      </c>
      <c r="S163" s="15">
        <v>698708.57</v>
      </c>
      <c r="T163" s="15">
        <v>0</v>
      </c>
      <c r="U163" s="15">
        <v>0</v>
      </c>
      <c r="V163" s="15">
        <v>0</v>
      </c>
      <c r="W163" s="15">
        <f t="shared" si="22"/>
        <v>91802340.569999978</v>
      </c>
      <c r="X163" s="15">
        <v>0</v>
      </c>
      <c r="Y163" s="15">
        <v>172073.62</v>
      </c>
      <c r="Z163" s="15">
        <v>728414.86</v>
      </c>
      <c r="AA163" s="15">
        <v>0</v>
      </c>
      <c r="AB163" s="15">
        <f t="shared" si="23"/>
        <v>900488.48</v>
      </c>
      <c r="AC163" s="15">
        <v>17517939</v>
      </c>
      <c r="AD163" s="15">
        <v>35405416</v>
      </c>
      <c r="AE163" s="15">
        <v>0</v>
      </c>
      <c r="AF163" s="15">
        <f t="shared" si="24"/>
        <v>52923355</v>
      </c>
      <c r="AG163" s="15">
        <v>0</v>
      </c>
      <c r="AH163" s="15">
        <v>92359.799999999988</v>
      </c>
      <c r="AI163" s="15">
        <v>0</v>
      </c>
      <c r="AJ163" s="16"/>
      <c r="AK163" s="15">
        <f t="shared" si="25"/>
        <v>57670911.219999999</v>
      </c>
      <c r="AL163" s="17">
        <f t="shared" si="26"/>
        <v>92702829.049999982</v>
      </c>
      <c r="AM163" s="22">
        <v>-58749.71</v>
      </c>
      <c r="AN163" s="34"/>
      <c r="AO163" s="15">
        <f t="shared" si="27"/>
        <v>203330705.35999998</v>
      </c>
      <c r="AP163" s="15">
        <f t="shared" si="28"/>
        <v>203389455.06999999</v>
      </c>
      <c r="AQ163" s="15">
        <f t="shared" si="29"/>
        <v>150373740.26999998</v>
      </c>
    </row>
    <row r="164" spans="2:48" s="20" customFormat="1" x14ac:dyDescent="0.25">
      <c r="B164" s="24">
        <v>44287</v>
      </c>
      <c r="C164" s="15">
        <v>4996422.13</v>
      </c>
      <c r="D164" s="15">
        <v>0</v>
      </c>
      <c r="E164" s="15">
        <v>5952669</v>
      </c>
      <c r="F164" s="15">
        <f>27424+248108+540</f>
        <v>276072</v>
      </c>
      <c r="G164" s="15">
        <f t="shared" si="20"/>
        <v>11225163.129999999</v>
      </c>
      <c r="H164" s="15">
        <v>5151089.87</v>
      </c>
      <c r="I164" s="15">
        <v>949395.19</v>
      </c>
      <c r="J164" s="15">
        <v>2727892.2299999995</v>
      </c>
      <c r="K164" s="15">
        <f t="shared" si="21"/>
        <v>20053540.420000002</v>
      </c>
      <c r="L164" s="15">
        <v>7238022.1200000001</v>
      </c>
      <c r="M164" s="15">
        <v>0</v>
      </c>
      <c r="N164" s="15">
        <v>136185079.65000001</v>
      </c>
      <c r="O164" s="15">
        <v>17559113.800000001</v>
      </c>
      <c r="P164" s="15">
        <v>1036459.81</v>
      </c>
      <c r="Q164" s="15">
        <v>844032.23</v>
      </c>
      <c r="R164" s="15">
        <v>653998.29</v>
      </c>
      <c r="S164" s="15">
        <v>623817.98</v>
      </c>
      <c r="T164" s="15">
        <v>0</v>
      </c>
      <c r="U164" s="15">
        <v>0</v>
      </c>
      <c r="V164" s="15">
        <v>0</v>
      </c>
      <c r="W164" s="15">
        <f t="shared" si="22"/>
        <v>156902501.75999999</v>
      </c>
      <c r="X164" s="15">
        <v>0</v>
      </c>
      <c r="Y164" s="15">
        <v>172073.56</v>
      </c>
      <c r="Z164" s="15">
        <v>684073.92999999993</v>
      </c>
      <c r="AA164" s="15">
        <v>0</v>
      </c>
      <c r="AB164" s="15">
        <f t="shared" si="23"/>
        <v>856147.49</v>
      </c>
      <c r="AC164" s="15">
        <v>17517939</v>
      </c>
      <c r="AD164" s="15">
        <v>35405416</v>
      </c>
      <c r="AE164" s="15">
        <f>5153768.3+5973.81</f>
        <v>5159742.1099999994</v>
      </c>
      <c r="AF164" s="15">
        <f t="shared" si="24"/>
        <v>58083097.109999999</v>
      </c>
      <c r="AG164" s="15">
        <v>0</v>
      </c>
      <c r="AH164" s="15">
        <v>-50281.87</v>
      </c>
      <c r="AI164" s="15">
        <v>0</v>
      </c>
      <c r="AJ164" s="16"/>
      <c r="AK164" s="15">
        <f t="shared" si="25"/>
        <v>27291562.540000003</v>
      </c>
      <c r="AL164" s="17">
        <f t="shared" si="26"/>
        <v>157758649.25</v>
      </c>
      <c r="AM164" s="22">
        <v>-6832169.5899999999</v>
      </c>
      <c r="AN164" s="34"/>
      <c r="AO164" s="15">
        <f t="shared" si="27"/>
        <v>236250857.44</v>
      </c>
      <c r="AP164" s="15">
        <f t="shared" si="28"/>
        <v>243083027.03</v>
      </c>
      <c r="AQ164" s="15">
        <f t="shared" si="29"/>
        <v>185050211.78999999</v>
      </c>
      <c r="AU164" s="33"/>
      <c r="AV164" s="33"/>
    </row>
    <row r="165" spans="2:48" s="20" customFormat="1" x14ac:dyDescent="0.25">
      <c r="B165" s="25">
        <v>44317</v>
      </c>
      <c r="C165" s="15">
        <f>38342115.94-33713202</f>
        <v>4628913.9399999976</v>
      </c>
      <c r="D165" s="15">
        <v>33713202</v>
      </c>
      <c r="E165" s="15">
        <v>7341351</v>
      </c>
      <c r="F165" s="15">
        <f>2626+129241+45616</f>
        <v>177483</v>
      </c>
      <c r="G165" s="15">
        <f t="shared" si="20"/>
        <v>45860949.939999998</v>
      </c>
      <c r="H165" s="15">
        <v>4236156.68</v>
      </c>
      <c r="I165" s="15">
        <v>1088408.99</v>
      </c>
      <c r="J165" s="15">
        <v>2654960.29</v>
      </c>
      <c r="K165" s="15">
        <f t="shared" si="21"/>
        <v>53840475.899999999</v>
      </c>
      <c r="L165" s="15">
        <v>6457710</v>
      </c>
      <c r="M165" s="15">
        <v>163466.04</v>
      </c>
      <c r="N165" s="15">
        <v>94187080.680000007</v>
      </c>
      <c r="O165" s="15">
        <v>9764073.5</v>
      </c>
      <c r="P165" s="15">
        <v>463222.91000000003</v>
      </c>
      <c r="Q165" s="15">
        <v>1026345.29</v>
      </c>
      <c r="R165" s="15">
        <v>941962.43</v>
      </c>
      <c r="S165" s="15">
        <v>789664.77</v>
      </c>
      <c r="T165" s="15">
        <v>0</v>
      </c>
      <c r="U165" s="15">
        <v>0</v>
      </c>
      <c r="V165" s="15">
        <v>0</v>
      </c>
      <c r="W165" s="15">
        <f t="shared" si="22"/>
        <v>107172349.58000001</v>
      </c>
      <c r="X165" s="15">
        <v>0</v>
      </c>
      <c r="Y165" s="15">
        <v>172073.56</v>
      </c>
      <c r="Z165" s="15">
        <v>918726.84</v>
      </c>
      <c r="AA165" s="15">
        <v>0</v>
      </c>
      <c r="AB165" s="15">
        <f t="shared" si="23"/>
        <v>1090800.3999999999</v>
      </c>
      <c r="AC165" s="15">
        <v>17517939</v>
      </c>
      <c r="AD165" s="15">
        <v>35405416</v>
      </c>
      <c r="AE165" s="15">
        <v>0</v>
      </c>
      <c r="AF165" s="15">
        <f t="shared" si="24"/>
        <v>52923355</v>
      </c>
      <c r="AG165" s="15">
        <v>0</v>
      </c>
      <c r="AH165" s="15">
        <v>143673.97</v>
      </c>
      <c r="AI165" s="15">
        <v>0</v>
      </c>
      <c r="AJ165" s="16"/>
      <c r="AK165" s="15">
        <f t="shared" si="25"/>
        <v>60461651.939999998</v>
      </c>
      <c r="AL165" s="17">
        <f t="shared" si="26"/>
        <v>108263149.98000002</v>
      </c>
      <c r="AM165" s="22">
        <v>-68496</v>
      </c>
      <c r="AN165" s="34"/>
      <c r="AO165" s="15">
        <f t="shared" si="27"/>
        <v>221723334.89000002</v>
      </c>
      <c r="AP165" s="15">
        <f t="shared" si="28"/>
        <v>221791830.89000002</v>
      </c>
      <c r="AQ165" s="15">
        <f t="shared" si="29"/>
        <v>168724801.92000002</v>
      </c>
    </row>
    <row r="166" spans="2:48" s="20" customFormat="1" x14ac:dyDescent="0.25">
      <c r="B166" s="26">
        <v>44348</v>
      </c>
      <c r="C166" s="15">
        <v>4856773.16</v>
      </c>
      <c r="D166" s="15">
        <v>0</v>
      </c>
      <c r="E166" s="15">
        <v>7475175</v>
      </c>
      <c r="F166" s="15">
        <f>7428+153039+49582</f>
        <v>210049</v>
      </c>
      <c r="G166" s="15">
        <f t="shared" si="20"/>
        <v>12541997.16</v>
      </c>
      <c r="H166" s="15">
        <v>14211665.279999999</v>
      </c>
      <c r="I166" s="15">
        <v>1558009.34</v>
      </c>
      <c r="J166" s="15">
        <v>3003965.1400000006</v>
      </c>
      <c r="K166" s="15">
        <f t="shared" si="21"/>
        <v>31315636.919999998</v>
      </c>
      <c r="L166" s="15">
        <v>8893080</v>
      </c>
      <c r="M166" s="15">
        <v>54173.91</v>
      </c>
      <c r="N166" s="15">
        <v>103224365.28</v>
      </c>
      <c r="O166" s="15">
        <v>10685803.859999999</v>
      </c>
      <c r="P166" s="15">
        <v>257262.96</v>
      </c>
      <c r="Q166" s="15">
        <v>921439.77</v>
      </c>
      <c r="R166" s="15">
        <v>1157340.6199999999</v>
      </c>
      <c r="S166" s="15">
        <v>666741.18000000005</v>
      </c>
      <c r="T166" s="15">
        <v>0</v>
      </c>
      <c r="U166" s="15">
        <v>0</v>
      </c>
      <c r="V166" s="15">
        <v>0</v>
      </c>
      <c r="W166" s="15">
        <f t="shared" si="22"/>
        <v>116912953.67</v>
      </c>
      <c r="X166" s="15">
        <v>0</v>
      </c>
      <c r="Y166" s="15">
        <v>172073.56</v>
      </c>
      <c r="Z166" s="15">
        <v>788037.17</v>
      </c>
      <c r="AA166" s="15">
        <v>0</v>
      </c>
      <c r="AB166" s="15">
        <f t="shared" si="23"/>
        <v>960110.73</v>
      </c>
      <c r="AC166" s="15">
        <v>17517939</v>
      </c>
      <c r="AD166" s="15">
        <v>35405416</v>
      </c>
      <c r="AE166" s="15">
        <v>0</v>
      </c>
      <c r="AF166" s="15">
        <f t="shared" si="24"/>
        <v>52923355</v>
      </c>
      <c r="AG166" s="15">
        <v>0</v>
      </c>
      <c r="AH166" s="15">
        <v>189567.83</v>
      </c>
      <c r="AI166" s="15">
        <v>0</v>
      </c>
      <c r="AJ166" s="16"/>
      <c r="AK166" s="15">
        <f t="shared" si="25"/>
        <v>40262890.829999998</v>
      </c>
      <c r="AL166" s="17">
        <f t="shared" si="26"/>
        <v>117873064.40000001</v>
      </c>
      <c r="AM166" s="22">
        <v>-348</v>
      </c>
      <c r="AN166" s="34"/>
      <c r="AO166" s="15">
        <f t="shared" si="27"/>
        <v>211248530.06</v>
      </c>
      <c r="AP166" s="15">
        <f t="shared" si="28"/>
        <v>211248878.06</v>
      </c>
      <c r="AQ166" s="15">
        <f t="shared" si="29"/>
        <v>158135955.23000002</v>
      </c>
    </row>
    <row r="167" spans="2:48" s="20" customFormat="1" x14ac:dyDescent="0.25">
      <c r="B167" s="27">
        <v>44378</v>
      </c>
      <c r="C167" s="15">
        <v>4443931.47</v>
      </c>
      <c r="D167" s="15">
        <v>0</v>
      </c>
      <c r="E167" s="15">
        <v>7512427</v>
      </c>
      <c r="F167" s="15">
        <v>661634.00000000093</v>
      </c>
      <c r="G167" s="15">
        <f t="shared" si="20"/>
        <v>12617992.469999999</v>
      </c>
      <c r="H167" s="15">
        <v>4122356.55</v>
      </c>
      <c r="I167" s="15">
        <v>12841193.539999999</v>
      </c>
      <c r="J167" s="15">
        <v>3422863.43</v>
      </c>
      <c r="K167" s="15">
        <f t="shared" si="21"/>
        <v>33004405.989999998</v>
      </c>
      <c r="L167" s="15">
        <v>6228049</v>
      </c>
      <c r="M167" s="15">
        <v>247771.81</v>
      </c>
      <c r="N167" s="15">
        <v>87030157.599999994</v>
      </c>
      <c r="O167" s="15">
        <v>9595842.8399999999</v>
      </c>
      <c r="P167" s="15">
        <v>210974.90999999997</v>
      </c>
      <c r="Q167" s="15">
        <v>948099.1</v>
      </c>
      <c r="R167" s="15">
        <v>978838.27</v>
      </c>
      <c r="S167" s="15">
        <v>714525.63</v>
      </c>
      <c r="T167" s="15">
        <v>0</v>
      </c>
      <c r="U167" s="15">
        <v>0</v>
      </c>
      <c r="V167" s="15">
        <v>0</v>
      </c>
      <c r="W167" s="15">
        <f t="shared" si="22"/>
        <v>99478438.349999979</v>
      </c>
      <c r="X167" s="15">
        <v>0</v>
      </c>
      <c r="Y167" s="15">
        <v>172073.56</v>
      </c>
      <c r="Z167" s="15">
        <v>785446.32000000007</v>
      </c>
      <c r="AA167" s="15">
        <v>0</v>
      </c>
      <c r="AB167" s="15">
        <f t="shared" si="23"/>
        <v>957519.88000000012</v>
      </c>
      <c r="AC167" s="15">
        <v>17517939</v>
      </c>
      <c r="AD167" s="15">
        <v>35405416</v>
      </c>
      <c r="AE167" s="15">
        <v>0</v>
      </c>
      <c r="AF167" s="15">
        <f t="shared" si="24"/>
        <v>52923355</v>
      </c>
      <c r="AG167" s="15">
        <v>0</v>
      </c>
      <c r="AH167" s="15">
        <v>215092.1</v>
      </c>
      <c r="AI167" s="15">
        <v>0</v>
      </c>
      <c r="AJ167" s="16"/>
      <c r="AK167" s="15">
        <f t="shared" si="25"/>
        <v>39480226.799999997</v>
      </c>
      <c r="AL167" s="17">
        <f t="shared" si="26"/>
        <v>100435958.22999997</v>
      </c>
      <c r="AM167" s="22">
        <v>7476.99</v>
      </c>
      <c r="AN167" s="34"/>
      <c r="AO167" s="15">
        <f t="shared" si="27"/>
        <v>193062109.12</v>
      </c>
      <c r="AP167" s="15">
        <f t="shared" si="28"/>
        <v>193054632.13</v>
      </c>
      <c r="AQ167" s="15">
        <f t="shared" si="29"/>
        <v>139916185.02999997</v>
      </c>
    </row>
    <row r="168" spans="2:48" s="20" customFormat="1" x14ac:dyDescent="0.25">
      <c r="B168" s="28">
        <v>44409</v>
      </c>
      <c r="C168" s="15">
        <v>5102304.1100000003</v>
      </c>
      <c r="D168" s="15">
        <v>0</v>
      </c>
      <c r="E168" s="15">
        <v>7144927</v>
      </c>
      <c r="F168" s="15">
        <f>200+242097+5108</f>
        <v>247405</v>
      </c>
      <c r="G168" s="15">
        <f t="shared" si="20"/>
        <v>12494636.109999999</v>
      </c>
      <c r="H168" s="15">
        <v>3497088.79</v>
      </c>
      <c r="I168" s="15">
        <v>1361177.52</v>
      </c>
      <c r="J168" s="15">
        <v>3293379.15</v>
      </c>
      <c r="K168" s="15">
        <f t="shared" si="21"/>
        <v>20646281.569999997</v>
      </c>
      <c r="L168" s="15">
        <v>8004381</v>
      </c>
      <c r="M168" s="15">
        <v>91095.61</v>
      </c>
      <c r="N168" s="15">
        <v>98398315.319999993</v>
      </c>
      <c r="O168" s="15">
        <v>11346796.390000001</v>
      </c>
      <c r="P168" s="15">
        <v>257262.96</v>
      </c>
      <c r="Q168" s="15">
        <v>927662.61</v>
      </c>
      <c r="R168" s="15">
        <v>936981.37</v>
      </c>
      <c r="S168" s="15">
        <v>634376.68000000005</v>
      </c>
      <c r="T168" s="15">
        <v>0</v>
      </c>
      <c r="U168" s="15">
        <v>0</v>
      </c>
      <c r="V168" s="15">
        <v>0</v>
      </c>
      <c r="W168" s="15">
        <f t="shared" si="22"/>
        <v>112501395.33</v>
      </c>
      <c r="X168" s="15">
        <v>0</v>
      </c>
      <c r="Y168" s="15">
        <v>172073.56</v>
      </c>
      <c r="Z168" s="15">
        <v>827383.08</v>
      </c>
      <c r="AA168" s="15">
        <v>0</v>
      </c>
      <c r="AB168" s="15">
        <f t="shared" si="23"/>
        <v>999456.6399999999</v>
      </c>
      <c r="AC168" s="15">
        <v>17517939</v>
      </c>
      <c r="AD168" s="15">
        <v>35405416</v>
      </c>
      <c r="AE168" s="15">
        <v>0</v>
      </c>
      <c r="AF168" s="15">
        <f t="shared" si="24"/>
        <v>52923355</v>
      </c>
      <c r="AG168" s="15">
        <v>0</v>
      </c>
      <c r="AH168" s="15">
        <v>217846.13</v>
      </c>
      <c r="AI168" s="15">
        <v>0</v>
      </c>
      <c r="AJ168" s="16"/>
      <c r="AK168" s="15">
        <f t="shared" si="25"/>
        <v>28741758.179999996</v>
      </c>
      <c r="AL168" s="17">
        <f t="shared" si="26"/>
        <v>113500851.97</v>
      </c>
      <c r="AM168" s="22">
        <v>1442</v>
      </c>
      <c r="AN168" s="34"/>
      <c r="AO168" s="15">
        <f t="shared" si="27"/>
        <v>195385253.28</v>
      </c>
      <c r="AP168" s="15">
        <f t="shared" si="28"/>
        <v>195383811.28</v>
      </c>
      <c r="AQ168" s="15">
        <f t="shared" si="29"/>
        <v>142242610.15000001</v>
      </c>
    </row>
    <row r="169" spans="2:48" s="20" customFormat="1" x14ac:dyDescent="0.25">
      <c r="B169" s="29">
        <v>44440</v>
      </c>
      <c r="C169" s="15">
        <v>4893191.0999999996</v>
      </c>
      <c r="D169" s="15">
        <v>0</v>
      </c>
      <c r="E169" s="15">
        <v>6476806</v>
      </c>
      <c r="F169" s="15">
        <f>221199+160600</f>
        <v>381799</v>
      </c>
      <c r="G169" s="15">
        <f t="shared" si="20"/>
        <v>11751796.1</v>
      </c>
      <c r="H169" s="15">
        <v>4324934.13</v>
      </c>
      <c r="I169" s="15">
        <v>2607319.7400000002</v>
      </c>
      <c r="J169" s="15">
        <v>3785481.2100000009</v>
      </c>
      <c r="K169" s="15">
        <f t="shared" si="21"/>
        <v>22469531.18</v>
      </c>
      <c r="L169" s="15">
        <v>7505934</v>
      </c>
      <c r="M169" s="15">
        <v>60644.93</v>
      </c>
      <c r="N169" s="15">
        <v>85258707.159999996</v>
      </c>
      <c r="O169" s="15">
        <v>9416014.4399999995</v>
      </c>
      <c r="P169" s="15">
        <v>257262.96</v>
      </c>
      <c r="Q169" s="15">
        <v>997027.56</v>
      </c>
      <c r="R169" s="15">
        <v>940429.46</v>
      </c>
      <c r="S169" s="15">
        <v>655087.29</v>
      </c>
      <c r="T169" s="15">
        <v>0</v>
      </c>
      <c r="U169" s="15">
        <v>0</v>
      </c>
      <c r="V169" s="15">
        <v>0</v>
      </c>
      <c r="W169" s="15">
        <f t="shared" si="22"/>
        <v>97524528.86999999</v>
      </c>
      <c r="X169" s="15">
        <v>0</v>
      </c>
      <c r="Y169" s="15">
        <v>172073.56</v>
      </c>
      <c r="Z169" s="15">
        <v>667127.91</v>
      </c>
      <c r="AA169" s="15">
        <v>0</v>
      </c>
      <c r="AB169" s="15">
        <f t="shared" si="23"/>
        <v>839201.47</v>
      </c>
      <c r="AC169" s="15">
        <v>0</v>
      </c>
      <c r="AD169" s="15">
        <v>35405416</v>
      </c>
      <c r="AE169" s="15">
        <v>0</v>
      </c>
      <c r="AF169" s="15">
        <f t="shared" si="24"/>
        <v>35405416</v>
      </c>
      <c r="AG169" s="15">
        <v>0</v>
      </c>
      <c r="AH169" s="15">
        <v>196679.65</v>
      </c>
      <c r="AI169" s="15">
        <v>0</v>
      </c>
      <c r="AJ169" s="16"/>
      <c r="AK169" s="15">
        <f t="shared" si="25"/>
        <v>30036110.109999999</v>
      </c>
      <c r="AL169" s="17">
        <f t="shared" si="26"/>
        <v>98363730.339999989</v>
      </c>
      <c r="AM169" s="22">
        <v>0</v>
      </c>
      <c r="AN169" s="34"/>
      <c r="AO169" s="15">
        <f t="shared" si="27"/>
        <v>164001936.09999999</v>
      </c>
      <c r="AP169" s="15">
        <f t="shared" si="28"/>
        <v>164001936.09999999</v>
      </c>
      <c r="AQ169" s="15">
        <f t="shared" si="29"/>
        <v>128399840.44999999</v>
      </c>
    </row>
    <row r="170" spans="2:48" s="20" customFormat="1" x14ac:dyDescent="0.25">
      <c r="B170" s="30">
        <v>44470</v>
      </c>
      <c r="C170" s="15">
        <v>2846027.87</v>
      </c>
      <c r="D170" s="15">
        <v>0</v>
      </c>
      <c r="E170" s="15">
        <v>9316175</v>
      </c>
      <c r="F170" s="15">
        <f>1928+186005+54489.12</f>
        <v>242422.12</v>
      </c>
      <c r="G170" s="15">
        <f t="shared" si="20"/>
        <v>12404624.99</v>
      </c>
      <c r="H170" s="15">
        <v>3933762.2</v>
      </c>
      <c r="I170" s="15">
        <v>1324531.6299999999</v>
      </c>
      <c r="J170" s="15">
        <v>4022657.0300000003</v>
      </c>
      <c r="K170" s="15">
        <f t="shared" si="21"/>
        <v>21685575.850000001</v>
      </c>
      <c r="L170" s="15">
        <v>7648026</v>
      </c>
      <c r="M170" s="15">
        <v>29920.19</v>
      </c>
      <c r="N170" s="15">
        <v>80845665.650000006</v>
      </c>
      <c r="O170" s="15">
        <v>8415791.2999999989</v>
      </c>
      <c r="P170" s="15">
        <v>515235.83999999997</v>
      </c>
      <c r="Q170" s="15">
        <v>895299.64</v>
      </c>
      <c r="R170" s="15">
        <v>1205455.8500000001</v>
      </c>
      <c r="S170" s="15">
        <v>652586.06000000006</v>
      </c>
      <c r="T170" s="15">
        <v>0</v>
      </c>
      <c r="U170" s="15">
        <v>0</v>
      </c>
      <c r="V170" s="15">
        <v>8910384.9900000002</v>
      </c>
      <c r="W170" s="15">
        <f t="shared" si="22"/>
        <v>101440419.33</v>
      </c>
      <c r="X170" s="15">
        <v>0</v>
      </c>
      <c r="Y170" s="15">
        <v>172073.56</v>
      </c>
      <c r="Z170" s="15">
        <v>886912.65</v>
      </c>
      <c r="AA170" s="15">
        <v>0</v>
      </c>
      <c r="AB170" s="15">
        <f t="shared" si="23"/>
        <v>1058986.21</v>
      </c>
      <c r="AC170" s="15">
        <v>35035880</v>
      </c>
      <c r="AD170" s="15">
        <v>35405416</v>
      </c>
      <c r="AE170" s="15">
        <v>0</v>
      </c>
      <c r="AF170" s="15">
        <f t="shared" si="24"/>
        <v>70441296</v>
      </c>
      <c r="AG170" s="15">
        <v>0</v>
      </c>
      <c r="AH170" s="15">
        <v>103912.94</v>
      </c>
      <c r="AI170" s="15">
        <v>0</v>
      </c>
      <c r="AJ170" s="16"/>
      <c r="AK170" s="15">
        <f t="shared" si="25"/>
        <v>29363522.040000003</v>
      </c>
      <c r="AL170" s="17">
        <f t="shared" si="26"/>
        <v>102499405.53999999</v>
      </c>
      <c r="AM170" s="22">
        <v>-1274</v>
      </c>
      <c r="AN170" s="34"/>
      <c r="AO170" s="15">
        <f t="shared" si="27"/>
        <v>202406862.51999998</v>
      </c>
      <c r="AP170" s="15">
        <f t="shared" si="28"/>
        <v>202408136.51999998</v>
      </c>
      <c r="AQ170" s="15">
        <f t="shared" si="29"/>
        <v>131862927.58</v>
      </c>
    </row>
    <row r="171" spans="2:48" s="20" customFormat="1" x14ac:dyDescent="0.25">
      <c r="B171" s="31">
        <v>44501</v>
      </c>
      <c r="C171" s="15">
        <v>3304784.22</v>
      </c>
      <c r="D171" s="15">
        <v>0</v>
      </c>
      <c r="E171" s="15">
        <v>8595295</v>
      </c>
      <c r="F171" s="15">
        <f>213032+4251</f>
        <v>217283</v>
      </c>
      <c r="G171" s="15">
        <f t="shared" si="20"/>
        <v>12117362.220000001</v>
      </c>
      <c r="H171" s="15">
        <v>4038381.75</v>
      </c>
      <c r="I171" s="15">
        <v>12801121.300000001</v>
      </c>
      <c r="J171" s="15">
        <v>4105871.5</v>
      </c>
      <c r="K171" s="15">
        <f t="shared" si="21"/>
        <v>33062736.770000003</v>
      </c>
      <c r="L171" s="15">
        <v>7135335</v>
      </c>
      <c r="M171" s="15">
        <v>57382.42</v>
      </c>
      <c r="N171" s="15">
        <v>87623944</v>
      </c>
      <c r="O171" s="15">
        <v>9697069.8300000001</v>
      </c>
      <c r="P171" s="15">
        <v>257262.96</v>
      </c>
      <c r="Q171" s="15">
        <v>919764.11</v>
      </c>
      <c r="R171" s="15">
        <v>959970.89</v>
      </c>
      <c r="S171" s="15">
        <v>602983.84</v>
      </c>
      <c r="T171" s="15">
        <v>0</v>
      </c>
      <c r="U171" s="15">
        <v>0</v>
      </c>
      <c r="V171" s="15">
        <v>0</v>
      </c>
      <c r="W171" s="15">
        <f t="shared" si="22"/>
        <v>100060995.63</v>
      </c>
      <c r="X171" s="15">
        <v>0</v>
      </c>
      <c r="Y171" s="15">
        <v>172073.56</v>
      </c>
      <c r="Z171" s="15">
        <v>793984.15</v>
      </c>
      <c r="AA171" s="15">
        <v>0</v>
      </c>
      <c r="AB171" s="15">
        <f t="shared" si="23"/>
        <v>966057.71</v>
      </c>
      <c r="AC171" s="15">
        <v>0</v>
      </c>
      <c r="AD171" s="15">
        <v>35405416</v>
      </c>
      <c r="AE171" s="15">
        <v>0</v>
      </c>
      <c r="AF171" s="15">
        <f t="shared" si="24"/>
        <v>35405416</v>
      </c>
      <c r="AG171" s="15">
        <v>0</v>
      </c>
      <c r="AH171" s="15">
        <v>321590.31999999995</v>
      </c>
      <c r="AI171" s="15">
        <v>0</v>
      </c>
      <c r="AJ171" s="16"/>
      <c r="AK171" s="15">
        <f t="shared" si="25"/>
        <v>40255454.190000005</v>
      </c>
      <c r="AL171" s="17">
        <f t="shared" si="26"/>
        <v>101027053.33999999</v>
      </c>
      <c r="AM171" s="22">
        <v>-2692</v>
      </c>
      <c r="AN171" s="34"/>
      <c r="AO171" s="15">
        <f t="shared" si="27"/>
        <v>177006821.84999999</v>
      </c>
      <c r="AP171" s="15">
        <f t="shared" si="28"/>
        <v>177009513.84999999</v>
      </c>
      <c r="AQ171" s="15">
        <f t="shared" si="29"/>
        <v>141282507.53</v>
      </c>
    </row>
    <row r="172" spans="2:48" s="20" customFormat="1" x14ac:dyDescent="0.25">
      <c r="B172" s="32">
        <v>44531</v>
      </c>
      <c r="C172" s="15">
        <v>10107543.33</v>
      </c>
      <c r="D172" s="15">
        <v>0</v>
      </c>
      <c r="E172" s="15">
        <v>8826208</v>
      </c>
      <c r="F172" s="15">
        <f>227181+17207.04+17223</f>
        <v>261611.04</v>
      </c>
      <c r="G172" s="15">
        <f t="shared" si="20"/>
        <v>19195362.369999997</v>
      </c>
      <c r="H172" s="15">
        <v>4902638.5999999996</v>
      </c>
      <c r="I172" s="15">
        <v>3262318.94</v>
      </c>
      <c r="J172" s="15">
        <v>10750601.549999999</v>
      </c>
      <c r="K172" s="15">
        <f t="shared" si="21"/>
        <v>38110921.460000001</v>
      </c>
      <c r="L172" s="15">
        <v>16282022</v>
      </c>
      <c r="M172" s="15">
        <v>174940.6</v>
      </c>
      <c r="N172" s="15">
        <v>86921003.99000001</v>
      </c>
      <c r="O172" s="15">
        <v>9329545.0399999991</v>
      </c>
      <c r="P172" s="15">
        <v>257262.96</v>
      </c>
      <c r="Q172" s="15">
        <v>926888.66</v>
      </c>
      <c r="R172" s="15">
        <v>945997.21</v>
      </c>
      <c r="S172" s="15">
        <v>606234.29999999993</v>
      </c>
      <c r="T172" s="15">
        <v>0</v>
      </c>
      <c r="U172" s="15">
        <v>0</v>
      </c>
      <c r="V172" s="15">
        <v>6683807.919999999</v>
      </c>
      <c r="W172" s="15">
        <f t="shared" si="22"/>
        <v>105670740.07999998</v>
      </c>
      <c r="X172" s="15">
        <v>0</v>
      </c>
      <c r="Y172" s="15">
        <v>172073.56</v>
      </c>
      <c r="Z172" s="15">
        <v>796116.76</v>
      </c>
      <c r="AA172" s="15">
        <v>0</v>
      </c>
      <c r="AB172" s="15">
        <f t="shared" si="23"/>
        <v>968190.32000000007</v>
      </c>
      <c r="AC172" s="15">
        <v>0</v>
      </c>
      <c r="AD172" s="15">
        <v>35405415</v>
      </c>
      <c r="AE172" s="15">
        <v>-5003768.3</v>
      </c>
      <c r="AF172" s="15">
        <f t="shared" si="24"/>
        <v>30401646.699999999</v>
      </c>
      <c r="AG172" s="15">
        <v>0</v>
      </c>
      <c r="AH172" s="15">
        <v>433393.53</v>
      </c>
      <c r="AI172" s="15">
        <v>0</v>
      </c>
      <c r="AJ172" s="16"/>
      <c r="AK172" s="15">
        <f t="shared" si="25"/>
        <v>54567884.060000002</v>
      </c>
      <c r="AL172" s="17">
        <f t="shared" si="26"/>
        <v>106638930.39999998</v>
      </c>
      <c r="AM172" s="22">
        <v>0</v>
      </c>
      <c r="AN172" s="34"/>
      <c r="AO172" s="15">
        <f t="shared" si="27"/>
        <v>192041854.69</v>
      </c>
      <c r="AP172" s="15">
        <f t="shared" si="28"/>
        <v>192041854.69</v>
      </c>
      <c r="AQ172" s="15">
        <f t="shared" si="29"/>
        <v>161206814.45999998</v>
      </c>
    </row>
    <row r="173" spans="2:48" s="20" customFormat="1" x14ac:dyDescent="0.25">
      <c r="B173" s="14">
        <v>44562</v>
      </c>
      <c r="C173" s="15">
        <v>115618184.13</v>
      </c>
      <c r="D173" s="15">
        <v>0</v>
      </c>
      <c r="E173" s="15">
        <v>4774586</v>
      </c>
      <c r="F173" s="15">
        <f>4644+3217580.06+341945</f>
        <v>3564169.06</v>
      </c>
      <c r="G173" s="15">
        <f t="shared" si="20"/>
        <v>123956939.19</v>
      </c>
      <c r="H173" s="15">
        <v>8924679.9900000002</v>
      </c>
      <c r="I173" s="15">
        <v>3415467.54</v>
      </c>
      <c r="J173" s="15">
        <v>3038615.6900000004</v>
      </c>
      <c r="K173" s="15">
        <f t="shared" si="21"/>
        <v>139335702.41</v>
      </c>
      <c r="L173" s="15">
        <v>0</v>
      </c>
      <c r="M173" s="15">
        <v>358966.22</v>
      </c>
      <c r="N173" s="15">
        <v>127968733.03</v>
      </c>
      <c r="O173" s="15">
        <v>15216319.880000001</v>
      </c>
      <c r="P173" s="15">
        <v>566819.5</v>
      </c>
      <c r="Q173" s="15">
        <v>1076289.69</v>
      </c>
      <c r="R173" s="15">
        <v>719481.87</v>
      </c>
      <c r="S173" s="15">
        <v>822046.48</v>
      </c>
      <c r="T173" s="15">
        <v>0</v>
      </c>
      <c r="U173" s="15">
        <v>0</v>
      </c>
      <c r="V173" s="15">
        <v>0</v>
      </c>
      <c r="W173" s="15">
        <f t="shared" si="22"/>
        <v>146369690.44999999</v>
      </c>
      <c r="X173" s="15">
        <v>0</v>
      </c>
      <c r="Y173" s="15">
        <v>180501.26</v>
      </c>
      <c r="Z173" s="15">
        <v>0</v>
      </c>
      <c r="AA173" s="15">
        <v>0</v>
      </c>
      <c r="AB173" s="15">
        <f t="shared" si="23"/>
        <v>180501.26</v>
      </c>
      <c r="AC173" s="15">
        <v>0</v>
      </c>
      <c r="AD173" s="15">
        <v>0</v>
      </c>
      <c r="AE173" s="15">
        <v>0</v>
      </c>
      <c r="AF173" s="15">
        <f t="shared" si="24"/>
        <v>0</v>
      </c>
      <c r="AG173" s="15">
        <v>0</v>
      </c>
      <c r="AH173" s="15">
        <v>4197.58</v>
      </c>
      <c r="AI173" s="15">
        <v>0</v>
      </c>
      <c r="AJ173" s="16"/>
      <c r="AK173" s="15">
        <f t="shared" si="25"/>
        <v>139694668.63</v>
      </c>
      <c r="AL173" s="17">
        <f t="shared" si="26"/>
        <v>146550191.70999998</v>
      </c>
      <c r="AM173" s="22">
        <v>-117359.31</v>
      </c>
      <c r="AN173" s="34"/>
      <c r="AO173" s="15">
        <f t="shared" si="27"/>
        <v>286131698.60999995</v>
      </c>
      <c r="AP173" s="15">
        <f t="shared" si="28"/>
        <v>286249057.91999996</v>
      </c>
      <c r="AQ173" s="15">
        <f t="shared" si="29"/>
        <v>286244860.33999997</v>
      </c>
    </row>
    <row r="174" spans="2:48" s="20" customFormat="1" x14ac:dyDescent="0.25">
      <c r="B174" s="21">
        <v>44593</v>
      </c>
      <c r="C174" s="15">
        <v>14474859.369999997</v>
      </c>
      <c r="D174" s="15">
        <v>33926310</v>
      </c>
      <c r="E174" s="15">
        <v>4909436</v>
      </c>
      <c r="F174" s="15">
        <f>47244+1428652.29+5485+164214</f>
        <v>1645595.29</v>
      </c>
      <c r="G174" s="15">
        <f t="shared" si="20"/>
        <v>54956200.659999996</v>
      </c>
      <c r="H174" s="15">
        <v>5787252.8300000001</v>
      </c>
      <c r="I174" s="15">
        <v>391340.01</v>
      </c>
      <c r="J174" s="15">
        <f>15682670.82-12037211-16836.88</f>
        <v>3628622.9400000004</v>
      </c>
      <c r="K174" s="15">
        <f t="shared" si="21"/>
        <v>64763416.43999999</v>
      </c>
      <c r="L174" s="15">
        <v>12037211</v>
      </c>
      <c r="M174" s="15">
        <v>16836.88</v>
      </c>
      <c r="N174" s="15">
        <v>172955727.94</v>
      </c>
      <c r="O174" s="15">
        <v>20524151.899999999</v>
      </c>
      <c r="P174" s="15">
        <v>244337.51</v>
      </c>
      <c r="Q174" s="15">
        <v>1216997.08</v>
      </c>
      <c r="R174" s="15">
        <v>1344691.85</v>
      </c>
      <c r="S174" s="15">
        <v>987291.77</v>
      </c>
      <c r="T174" s="15">
        <v>0</v>
      </c>
      <c r="U174" s="15">
        <v>0</v>
      </c>
      <c r="V174" s="15">
        <v>3533499.55</v>
      </c>
      <c r="W174" s="15">
        <f t="shared" si="22"/>
        <v>200806697.60000002</v>
      </c>
      <c r="X174" s="15">
        <v>0</v>
      </c>
      <c r="Y174" s="15">
        <v>180501.92</v>
      </c>
      <c r="Z174" s="15">
        <v>884841.08000000007</v>
      </c>
      <c r="AA174" s="15">
        <v>0</v>
      </c>
      <c r="AB174" s="15">
        <f t="shared" si="23"/>
        <v>1065343</v>
      </c>
      <c r="AC174" s="15">
        <v>42327954</v>
      </c>
      <c r="AD174" s="15">
        <v>74895774</v>
      </c>
      <c r="AE174" s="15">
        <v>0</v>
      </c>
      <c r="AF174" s="15">
        <f t="shared" si="24"/>
        <v>117223728</v>
      </c>
      <c r="AG174" s="15">
        <v>0</v>
      </c>
      <c r="AH174" s="15">
        <v>105212.51000000001</v>
      </c>
      <c r="AI174" s="15">
        <v>0</v>
      </c>
      <c r="AJ174" s="16"/>
      <c r="AK174" s="15">
        <f t="shared" si="25"/>
        <v>76817464.319999993</v>
      </c>
      <c r="AL174" s="17">
        <f t="shared" si="26"/>
        <v>201872040.60000002</v>
      </c>
      <c r="AM174" s="22">
        <v>-76226.039999999994</v>
      </c>
      <c r="AN174" s="34"/>
      <c r="AO174" s="15">
        <f t="shared" si="27"/>
        <v>395942219.38999999</v>
      </c>
      <c r="AP174" s="15">
        <f t="shared" si="28"/>
        <v>396018445.43000001</v>
      </c>
      <c r="AQ174" s="15">
        <f t="shared" si="29"/>
        <v>278689504.92000002</v>
      </c>
    </row>
    <row r="175" spans="2:48" s="20" customFormat="1" x14ac:dyDescent="0.25">
      <c r="B175" s="23">
        <v>44621</v>
      </c>
      <c r="C175" s="15">
        <v>13169270.33</v>
      </c>
      <c r="D175" s="15">
        <v>3067913</v>
      </c>
      <c r="E175" s="15">
        <v>8435165</v>
      </c>
      <c r="F175" s="15">
        <f>22568+18474+1911685.36+184040</f>
        <v>2136767.3600000003</v>
      </c>
      <c r="G175" s="15">
        <f t="shared" si="20"/>
        <v>26809115.689999998</v>
      </c>
      <c r="H175" s="15">
        <v>6660905.3600000003</v>
      </c>
      <c r="I175" s="15">
        <v>2373897.15</v>
      </c>
      <c r="J175" s="15">
        <f>29665487.04-25408349-239133.47</f>
        <v>4018004.5699999989</v>
      </c>
      <c r="K175" s="15">
        <f t="shared" si="21"/>
        <v>39861922.769999996</v>
      </c>
      <c r="L175" s="15">
        <v>25408349</v>
      </c>
      <c r="M175" s="15">
        <v>239133.47</v>
      </c>
      <c r="N175" s="15">
        <v>98075908.099999994</v>
      </c>
      <c r="O175" s="15">
        <v>10811886</v>
      </c>
      <c r="P175" s="15">
        <v>244337.51</v>
      </c>
      <c r="Q175" s="15">
        <v>1039362.98</v>
      </c>
      <c r="R175" s="15">
        <v>895675.55</v>
      </c>
      <c r="S175" s="15">
        <v>739377.54</v>
      </c>
      <c r="T175" s="15">
        <v>0</v>
      </c>
      <c r="U175" s="15">
        <v>0</v>
      </c>
      <c r="V175" s="15">
        <v>223.81</v>
      </c>
      <c r="W175" s="15">
        <f t="shared" si="22"/>
        <v>111806771.49000001</v>
      </c>
      <c r="X175" s="15">
        <v>0</v>
      </c>
      <c r="Y175" s="15">
        <v>180501.92</v>
      </c>
      <c r="Z175" s="15">
        <f>2042522.15+3.11+0.06</f>
        <v>2042525.32</v>
      </c>
      <c r="AA175" s="15">
        <v>0</v>
      </c>
      <c r="AB175" s="15">
        <f t="shared" si="23"/>
        <v>2223027.2400000002</v>
      </c>
      <c r="AC175" s="15">
        <v>21163977</v>
      </c>
      <c r="AD175" s="15">
        <v>38543437</v>
      </c>
      <c r="AE175" s="15">
        <v>0</v>
      </c>
      <c r="AF175" s="15">
        <f t="shared" si="24"/>
        <v>59707414</v>
      </c>
      <c r="AG175" s="15">
        <v>0</v>
      </c>
      <c r="AH175" s="15">
        <v>253449.81</v>
      </c>
      <c r="AI175" s="15">
        <v>0</v>
      </c>
      <c r="AJ175" s="16"/>
      <c r="AK175" s="15">
        <f t="shared" si="25"/>
        <v>65509405.239999995</v>
      </c>
      <c r="AL175" s="17">
        <f t="shared" si="26"/>
        <v>114029798.73</v>
      </c>
      <c r="AM175" s="22">
        <v>-200</v>
      </c>
      <c r="AN175" s="34"/>
      <c r="AO175" s="15">
        <f t="shared" si="27"/>
        <v>239499867.78</v>
      </c>
      <c r="AP175" s="15">
        <f t="shared" si="28"/>
        <v>239500067.78</v>
      </c>
      <c r="AQ175" s="15">
        <f t="shared" si="29"/>
        <v>179539203.97</v>
      </c>
    </row>
    <row r="176" spans="2:48" s="20" customFormat="1" x14ac:dyDescent="0.25">
      <c r="B176" s="24">
        <v>44652</v>
      </c>
      <c r="C176" s="15">
        <v>5390435.1799999997</v>
      </c>
      <c r="D176" s="15">
        <v>3079232</v>
      </c>
      <c r="E176" s="15">
        <v>5872001</v>
      </c>
      <c r="F176" s="15">
        <f>7399+5484.54+1091500.03+206402</f>
        <v>1310785.57</v>
      </c>
      <c r="G176" s="15">
        <f t="shared" si="20"/>
        <v>15652453.75</v>
      </c>
      <c r="H176" s="15">
        <v>5036620.7</v>
      </c>
      <c r="I176" s="15">
        <v>1683435.52</v>
      </c>
      <c r="J176" s="15">
        <f>11460407.56-8010672-36024.03</f>
        <v>3413711.5300000007</v>
      </c>
      <c r="K176" s="15">
        <f t="shared" si="21"/>
        <v>25786221.5</v>
      </c>
      <c r="L176" s="15">
        <v>8010672</v>
      </c>
      <c r="M176" s="15">
        <v>36024.03</v>
      </c>
      <c r="N176" s="15">
        <v>180222989.13999999</v>
      </c>
      <c r="O176" s="15">
        <v>22655520.25</v>
      </c>
      <c r="P176" s="15">
        <v>813176.6</v>
      </c>
      <c r="Q176" s="15">
        <v>1067984.3899999999</v>
      </c>
      <c r="R176" s="15">
        <v>880386.04</v>
      </c>
      <c r="S176" s="15">
        <v>818099.21</v>
      </c>
      <c r="T176" s="15">
        <v>0</v>
      </c>
      <c r="U176" s="15">
        <v>0</v>
      </c>
      <c r="V176" s="15">
        <v>0</v>
      </c>
      <c r="W176" s="15">
        <f t="shared" si="22"/>
        <v>206458155.62999997</v>
      </c>
      <c r="X176" s="15">
        <v>0</v>
      </c>
      <c r="Y176" s="15">
        <v>180501.92</v>
      </c>
      <c r="Z176" s="15">
        <v>807788.28</v>
      </c>
      <c r="AA176" s="15">
        <v>0</v>
      </c>
      <c r="AB176" s="15">
        <f t="shared" si="23"/>
        <v>988290.20000000007</v>
      </c>
      <c r="AC176" s="15">
        <v>21163977</v>
      </c>
      <c r="AD176" s="15">
        <v>37813070</v>
      </c>
      <c r="AE176" s="15">
        <v>0</v>
      </c>
      <c r="AF176" s="15">
        <f t="shared" si="24"/>
        <v>58977047</v>
      </c>
      <c r="AG176" s="15">
        <v>0</v>
      </c>
      <c r="AH176" s="15">
        <v>56889.35</v>
      </c>
      <c r="AI176" s="15">
        <v>0</v>
      </c>
      <c r="AJ176" s="16"/>
      <c r="AK176" s="15">
        <f t="shared" si="25"/>
        <v>33832917.530000001</v>
      </c>
      <c r="AL176" s="17">
        <f t="shared" si="26"/>
        <v>207446445.82999995</v>
      </c>
      <c r="AM176" s="22">
        <v>-6700153.0499999998</v>
      </c>
      <c r="AN176" s="34"/>
      <c r="AO176" s="15">
        <f t="shared" si="27"/>
        <v>293613146.65999991</v>
      </c>
      <c r="AP176" s="15">
        <f t="shared" si="28"/>
        <v>300313299.70999992</v>
      </c>
      <c r="AQ176" s="15">
        <f t="shared" si="29"/>
        <v>241279363.35999995</v>
      </c>
      <c r="AU176" s="33"/>
      <c r="AV176" s="33"/>
    </row>
    <row r="177" spans="2:50" s="20" customFormat="1" x14ac:dyDescent="0.25">
      <c r="B177" s="25">
        <v>44682</v>
      </c>
      <c r="C177" s="15">
        <v>6310072</v>
      </c>
      <c r="D177" s="15">
        <v>0</v>
      </c>
      <c r="E177" s="15">
        <v>8227057</v>
      </c>
      <c r="F177" s="15">
        <f>42378+3079+1090931.76+234291</f>
        <v>1370679.76</v>
      </c>
      <c r="G177" s="15">
        <f t="shared" si="20"/>
        <v>15907808.76</v>
      </c>
      <c r="H177" s="15">
        <v>4660299.26</v>
      </c>
      <c r="I177" s="15">
        <v>3741296.49</v>
      </c>
      <c r="J177" s="15">
        <f>17012321.69-13375974-116682.88</f>
        <v>3519664.8100000015</v>
      </c>
      <c r="K177" s="15">
        <f t="shared" si="21"/>
        <v>27829069.32</v>
      </c>
      <c r="L177" s="15">
        <v>13375974</v>
      </c>
      <c r="M177" s="15">
        <v>116682.88</v>
      </c>
      <c r="N177" s="15">
        <v>152325347.34999999</v>
      </c>
      <c r="O177" s="15">
        <v>14889639.91</v>
      </c>
      <c r="P177" s="15">
        <v>236158.18</v>
      </c>
      <c r="Q177" s="15">
        <v>0</v>
      </c>
      <c r="R177" s="15">
        <v>1079577.0900000001</v>
      </c>
      <c r="S177" s="15">
        <v>0</v>
      </c>
      <c r="T177" s="15">
        <v>0</v>
      </c>
      <c r="U177" s="15">
        <v>0</v>
      </c>
      <c r="V177" s="15">
        <v>0</v>
      </c>
      <c r="W177" s="15">
        <f t="shared" si="22"/>
        <v>168530722.53</v>
      </c>
      <c r="X177" s="15">
        <v>0</v>
      </c>
      <c r="Y177" s="15">
        <v>180501.92</v>
      </c>
      <c r="Z177" s="15">
        <v>971335.52</v>
      </c>
      <c r="AA177" s="15">
        <v>0</v>
      </c>
      <c r="AB177" s="15">
        <f t="shared" si="23"/>
        <v>1151837.44</v>
      </c>
      <c r="AC177" s="15">
        <v>21163977</v>
      </c>
      <c r="AD177" s="15">
        <v>37813070</v>
      </c>
      <c r="AE177" s="15">
        <v>4399252.5599999996</v>
      </c>
      <c r="AF177" s="15">
        <f t="shared" si="24"/>
        <v>63376299.560000002</v>
      </c>
      <c r="AG177" s="15">
        <v>0</v>
      </c>
      <c r="AH177" s="15">
        <v>325296.08</v>
      </c>
      <c r="AI177" s="15">
        <v>0</v>
      </c>
      <c r="AJ177" s="16"/>
      <c r="AK177" s="15">
        <f t="shared" si="25"/>
        <v>41321726.200000003</v>
      </c>
      <c r="AL177" s="17">
        <f t="shared" si="26"/>
        <v>169682559.97</v>
      </c>
      <c r="AM177" s="22">
        <v>-574</v>
      </c>
      <c r="AN177" s="34"/>
      <c r="AO177" s="15">
        <f t="shared" si="27"/>
        <v>274705307.81</v>
      </c>
      <c r="AP177" s="15">
        <f t="shared" si="28"/>
        <v>274705881.81</v>
      </c>
      <c r="AQ177" s="15">
        <f t="shared" si="29"/>
        <v>211004286.17000002</v>
      </c>
    </row>
    <row r="178" spans="2:50" s="20" customFormat="1" x14ac:dyDescent="0.25">
      <c r="B178" s="26">
        <v>44713</v>
      </c>
      <c r="C178" s="15">
        <v>5396150.2599999998</v>
      </c>
      <c r="D178" s="15">
        <v>0</v>
      </c>
      <c r="E178" s="15">
        <v>8561591</v>
      </c>
      <c r="F178" s="15">
        <f>423440+9237+1309486.77+405520</f>
        <v>2147683.77</v>
      </c>
      <c r="G178" s="15">
        <f t="shared" si="20"/>
        <v>16105425.029999999</v>
      </c>
      <c r="H178" s="15">
        <v>4442844.6100000003</v>
      </c>
      <c r="I178" s="15">
        <v>7960383.79</v>
      </c>
      <c r="J178" s="15">
        <v>3807386.8400000003</v>
      </c>
      <c r="K178" s="15">
        <f t="shared" si="21"/>
        <v>32316040.27</v>
      </c>
      <c r="L178" s="15">
        <v>6804890</v>
      </c>
      <c r="M178" s="15">
        <v>117717.32</v>
      </c>
      <c r="N178" s="15">
        <v>92722292.169999987</v>
      </c>
      <c r="O178" s="15">
        <v>7785424.6500000004</v>
      </c>
      <c r="P178" s="15">
        <v>244337.51</v>
      </c>
      <c r="Q178" s="15">
        <v>560982.5</v>
      </c>
      <c r="R178" s="15">
        <v>1407373.22</v>
      </c>
      <c r="S178" s="15">
        <v>465805.45</v>
      </c>
      <c r="T178" s="15">
        <v>0</v>
      </c>
      <c r="U178" s="15">
        <v>0</v>
      </c>
      <c r="V178" s="15">
        <v>0</v>
      </c>
      <c r="W178" s="15">
        <f t="shared" si="22"/>
        <v>103186215.5</v>
      </c>
      <c r="X178" s="15">
        <v>0</v>
      </c>
      <c r="Y178" s="15">
        <v>180501.92</v>
      </c>
      <c r="Z178" s="15">
        <v>811924.45</v>
      </c>
      <c r="AA178" s="15">
        <v>0</v>
      </c>
      <c r="AB178" s="15">
        <f t="shared" si="23"/>
        <v>992426.37</v>
      </c>
      <c r="AC178" s="15">
        <v>21163977</v>
      </c>
      <c r="AD178" s="15">
        <v>37813070</v>
      </c>
      <c r="AE178" s="15">
        <v>0</v>
      </c>
      <c r="AF178" s="15">
        <f t="shared" si="24"/>
        <v>58977047</v>
      </c>
      <c r="AG178" s="15">
        <v>0</v>
      </c>
      <c r="AH178" s="15">
        <v>376608.39</v>
      </c>
      <c r="AI178" s="15">
        <v>0</v>
      </c>
      <c r="AJ178" s="16"/>
      <c r="AK178" s="15">
        <f t="shared" si="25"/>
        <v>39238647.589999996</v>
      </c>
      <c r="AL178" s="17">
        <f t="shared" si="26"/>
        <v>104178641.87</v>
      </c>
      <c r="AM178" s="22">
        <v>-2432</v>
      </c>
      <c r="AN178" s="34"/>
      <c r="AO178" s="15">
        <f t="shared" si="27"/>
        <v>202768512.84999999</v>
      </c>
      <c r="AP178" s="15">
        <f t="shared" si="28"/>
        <v>202770944.84999999</v>
      </c>
      <c r="AQ178" s="15">
        <f t="shared" si="29"/>
        <v>143417289.46000001</v>
      </c>
    </row>
    <row r="179" spans="2:50" s="20" customFormat="1" x14ac:dyDescent="0.25">
      <c r="B179" s="27">
        <v>44743</v>
      </c>
      <c r="C179" s="15">
        <v>3140178.25</v>
      </c>
      <c r="D179" s="15">
        <v>0</v>
      </c>
      <c r="E179" s="15">
        <v>6796743</v>
      </c>
      <c r="F179" s="15">
        <f>97838+356495+1029918.67+233561</f>
        <v>1717812.67</v>
      </c>
      <c r="G179" s="15">
        <f t="shared" si="20"/>
        <v>11654733.92</v>
      </c>
      <c r="H179" s="15">
        <v>5198941.66</v>
      </c>
      <c r="I179" s="15">
        <v>15423439.9</v>
      </c>
      <c r="J179" s="15">
        <v>3931906.62</v>
      </c>
      <c r="K179" s="15">
        <f t="shared" si="21"/>
        <v>36209022.099999994</v>
      </c>
      <c r="L179" s="15">
        <v>10499978</v>
      </c>
      <c r="M179" s="15">
        <v>60955.46</v>
      </c>
      <c r="N179" s="15">
        <v>105454026.76000001</v>
      </c>
      <c r="O179" s="15">
        <v>11501112.630000001</v>
      </c>
      <c r="P179" s="15">
        <v>548625.19999999995</v>
      </c>
      <c r="Q179" s="15">
        <v>1429078.03</v>
      </c>
      <c r="R179" s="15">
        <v>1144773.1299999999</v>
      </c>
      <c r="S179" s="15">
        <v>1071783.53</v>
      </c>
      <c r="T179" s="15">
        <v>0</v>
      </c>
      <c r="U179" s="15">
        <v>0</v>
      </c>
      <c r="V179" s="15">
        <v>0</v>
      </c>
      <c r="W179" s="15">
        <f t="shared" si="22"/>
        <v>121149399.28</v>
      </c>
      <c r="X179" s="15">
        <v>0</v>
      </c>
      <c r="Y179" s="15">
        <v>180501.92</v>
      </c>
      <c r="Z179" s="15">
        <v>940855.82</v>
      </c>
      <c r="AA179" s="15">
        <v>0</v>
      </c>
      <c r="AB179" s="15">
        <f t="shared" si="23"/>
        <v>1121357.74</v>
      </c>
      <c r="AC179" s="15">
        <v>21163977</v>
      </c>
      <c r="AD179" s="15">
        <v>37813070</v>
      </c>
      <c r="AE179" s="15">
        <v>0</v>
      </c>
      <c r="AF179" s="15">
        <f t="shared" si="24"/>
        <v>58977047</v>
      </c>
      <c r="AG179" s="15">
        <v>0</v>
      </c>
      <c r="AH179" s="15">
        <v>407940.68</v>
      </c>
      <c r="AI179" s="15">
        <v>0</v>
      </c>
      <c r="AJ179" s="16"/>
      <c r="AK179" s="15">
        <f t="shared" si="25"/>
        <v>46769955.559999995</v>
      </c>
      <c r="AL179" s="17">
        <f t="shared" si="26"/>
        <v>122270757.02</v>
      </c>
      <c r="AM179" s="22">
        <v>-529</v>
      </c>
      <c r="AN179" s="34"/>
      <c r="AO179" s="15">
        <f t="shared" si="27"/>
        <v>228425171.25999999</v>
      </c>
      <c r="AP179" s="15">
        <f t="shared" si="28"/>
        <v>228425700.25999999</v>
      </c>
      <c r="AQ179" s="15">
        <f t="shared" si="29"/>
        <v>169040712.57999998</v>
      </c>
    </row>
    <row r="180" spans="2:50" s="20" customFormat="1" x14ac:dyDescent="0.25">
      <c r="B180" s="28">
        <v>44774</v>
      </c>
      <c r="C180" s="15">
        <v>4301683.1900000004</v>
      </c>
      <c r="D180" s="15">
        <v>0</v>
      </c>
      <c r="E180" s="15">
        <v>9804116</v>
      </c>
      <c r="F180" s="15">
        <f>34548+21938.16+1658743.82+232156</f>
        <v>1947385.98</v>
      </c>
      <c r="G180" s="15">
        <f t="shared" si="20"/>
        <v>16053185.170000002</v>
      </c>
      <c r="H180" s="15">
        <v>4810135.45</v>
      </c>
      <c r="I180" s="15">
        <v>2987714.7</v>
      </c>
      <c r="J180" s="15">
        <f>11642445.28-7829792-110367.11</f>
        <v>3702286.1699999995</v>
      </c>
      <c r="K180" s="15">
        <f t="shared" si="21"/>
        <v>27553321.489999998</v>
      </c>
      <c r="L180" s="15">
        <v>7829792</v>
      </c>
      <c r="M180" s="15">
        <v>110367.11</v>
      </c>
      <c r="N180" s="15">
        <v>107664278.77</v>
      </c>
      <c r="O180" s="15">
        <v>11802502.560000001</v>
      </c>
      <c r="P180" s="15">
        <v>244337.51</v>
      </c>
      <c r="Q180" s="15">
        <v>1453377.42</v>
      </c>
      <c r="R180" s="15">
        <v>1129530.67</v>
      </c>
      <c r="S180" s="15">
        <v>1020576.6</v>
      </c>
      <c r="T180" s="15">
        <v>0</v>
      </c>
      <c r="U180" s="15">
        <v>0</v>
      </c>
      <c r="V180" s="15">
        <v>0</v>
      </c>
      <c r="W180" s="15">
        <f t="shared" si="22"/>
        <v>123314603.53</v>
      </c>
      <c r="X180" s="15">
        <v>0</v>
      </c>
      <c r="Y180" s="15">
        <v>180501.92</v>
      </c>
      <c r="Z180" s="15">
        <v>987094.16</v>
      </c>
      <c r="AA180" s="15">
        <v>0</v>
      </c>
      <c r="AB180" s="15">
        <f t="shared" si="23"/>
        <v>1167596.08</v>
      </c>
      <c r="AC180" s="15">
        <v>21163977</v>
      </c>
      <c r="AD180" s="15">
        <v>37813070</v>
      </c>
      <c r="AE180" s="15">
        <v>0</v>
      </c>
      <c r="AF180" s="15">
        <f t="shared" si="24"/>
        <v>58977047</v>
      </c>
      <c r="AG180" s="15">
        <v>0</v>
      </c>
      <c r="AH180" s="15">
        <v>516734</v>
      </c>
      <c r="AI180" s="15">
        <v>0</v>
      </c>
      <c r="AJ180" s="16"/>
      <c r="AK180" s="15">
        <f t="shared" si="25"/>
        <v>35493480.599999994</v>
      </c>
      <c r="AL180" s="17">
        <f t="shared" si="26"/>
        <v>124482199.61</v>
      </c>
      <c r="AM180" s="22">
        <v>-874</v>
      </c>
      <c r="AN180" s="34"/>
      <c r="AO180" s="15">
        <f t="shared" si="27"/>
        <v>219468587.20999998</v>
      </c>
      <c r="AP180" s="15">
        <f t="shared" si="28"/>
        <v>219469461.20999998</v>
      </c>
      <c r="AQ180" s="15">
        <f t="shared" si="29"/>
        <v>159975680.20999998</v>
      </c>
      <c r="AX180" s="36"/>
    </row>
    <row r="181" spans="2:50" s="20" customFormat="1" x14ac:dyDescent="0.25">
      <c r="B181" s="29">
        <v>44805</v>
      </c>
      <c r="C181" s="15">
        <v>2634388.2400000002</v>
      </c>
      <c r="D181" s="15">
        <v>0</v>
      </c>
      <c r="E181" s="15">
        <v>8179524</v>
      </c>
      <c r="F181" s="15">
        <f>164593+44645.56+1343367.88+306289</f>
        <v>1858895.44</v>
      </c>
      <c r="G181" s="15">
        <f t="shared" si="20"/>
        <v>12672807.68</v>
      </c>
      <c r="H181" s="15">
        <v>4285022.5</v>
      </c>
      <c r="I181" s="15">
        <v>3809480.75</v>
      </c>
      <c r="J181" s="15">
        <v>4069921.2699999991</v>
      </c>
      <c r="K181" s="15">
        <f t="shared" si="21"/>
        <v>24837232.199999999</v>
      </c>
      <c r="L181" s="15">
        <v>6084876</v>
      </c>
      <c r="M181" s="15">
        <v>444723.93</v>
      </c>
      <c r="N181" s="15">
        <v>100758323.03</v>
      </c>
      <c r="O181" s="15">
        <v>10857930.060000001</v>
      </c>
      <c r="P181" s="15">
        <v>244337.51</v>
      </c>
      <c r="Q181" s="15">
        <v>1450789.93</v>
      </c>
      <c r="R181" s="15">
        <v>1150086.6200000001</v>
      </c>
      <c r="S181" s="15">
        <v>927746.34</v>
      </c>
      <c r="T181" s="15">
        <v>0</v>
      </c>
      <c r="U181" s="15">
        <v>0</v>
      </c>
      <c r="V181" s="15">
        <v>0</v>
      </c>
      <c r="W181" s="15">
        <f t="shared" si="22"/>
        <v>115389213.49000002</v>
      </c>
      <c r="X181" s="15">
        <v>0</v>
      </c>
      <c r="Y181" s="15">
        <v>180501.92</v>
      </c>
      <c r="Z181" s="15">
        <v>911902.13</v>
      </c>
      <c r="AA181" s="15">
        <v>0</v>
      </c>
      <c r="AB181" s="15">
        <f t="shared" si="23"/>
        <v>1092404.05</v>
      </c>
      <c r="AC181" s="15">
        <v>21163977</v>
      </c>
      <c r="AD181" s="15">
        <v>37813070</v>
      </c>
      <c r="AE181" s="15">
        <v>0</v>
      </c>
      <c r="AF181" s="15">
        <f t="shared" si="24"/>
        <v>58977047</v>
      </c>
      <c r="AG181" s="15">
        <v>0</v>
      </c>
      <c r="AH181" s="15">
        <v>620018.31000000006</v>
      </c>
      <c r="AI181" s="15">
        <v>0</v>
      </c>
      <c r="AJ181" s="16"/>
      <c r="AK181" s="15">
        <f t="shared" si="25"/>
        <v>31366832.129999999</v>
      </c>
      <c r="AL181" s="17">
        <f t="shared" si="26"/>
        <v>116481617.54000002</v>
      </c>
      <c r="AM181" s="22">
        <v>-7894</v>
      </c>
      <c r="AN181" s="34"/>
      <c r="AO181" s="15">
        <f t="shared" si="27"/>
        <v>207437620.98000002</v>
      </c>
      <c r="AP181" s="15">
        <f t="shared" si="28"/>
        <v>207445514.98000002</v>
      </c>
      <c r="AQ181" s="15">
        <f t="shared" si="29"/>
        <v>147848449.67000002</v>
      </c>
    </row>
    <row r="182" spans="2:50" s="20" customFormat="1" x14ac:dyDescent="0.25">
      <c r="B182" s="30">
        <v>44835</v>
      </c>
      <c r="C182" s="15">
        <v>3294088.87</v>
      </c>
      <c r="D182" s="15">
        <v>0</v>
      </c>
      <c r="E182" s="15">
        <v>8855542</v>
      </c>
      <c r="F182" s="15">
        <f>423882+145391.61+1019424.3+339307</f>
        <v>1928004.9100000001</v>
      </c>
      <c r="G182" s="15">
        <f t="shared" si="20"/>
        <v>14077635.780000001</v>
      </c>
      <c r="H182" s="15">
        <v>4535723.63</v>
      </c>
      <c r="I182" s="15">
        <v>2949622.76</v>
      </c>
      <c r="J182" s="15">
        <v>3968326.76</v>
      </c>
      <c r="K182" s="15">
        <f t="shared" si="21"/>
        <v>25531308.93</v>
      </c>
      <c r="L182" s="15">
        <v>8568713</v>
      </c>
      <c r="M182" s="15">
        <v>90947.24</v>
      </c>
      <c r="N182" s="15">
        <v>81244262.109999999</v>
      </c>
      <c r="O182" s="15">
        <v>7309141.4800000004</v>
      </c>
      <c r="P182" s="15">
        <v>562133.21</v>
      </c>
      <c r="Q182" s="15">
        <v>1405181.03</v>
      </c>
      <c r="R182" s="15">
        <v>1398478.27</v>
      </c>
      <c r="S182" s="15">
        <v>1039902.94</v>
      </c>
      <c r="T182" s="15">
        <v>0</v>
      </c>
      <c r="U182" s="15">
        <v>0</v>
      </c>
      <c r="V182" s="15">
        <v>0</v>
      </c>
      <c r="W182" s="15">
        <f t="shared" si="22"/>
        <v>92959099.039999992</v>
      </c>
      <c r="X182" s="15">
        <v>0</v>
      </c>
      <c r="Y182" s="15">
        <v>180501.92</v>
      </c>
      <c r="Z182" s="15">
        <v>1027419.67</v>
      </c>
      <c r="AA182" s="15">
        <v>0</v>
      </c>
      <c r="AB182" s="15">
        <f t="shared" si="23"/>
        <v>1207921.5900000001</v>
      </c>
      <c r="AC182" s="15">
        <v>21163981</v>
      </c>
      <c r="AD182" s="15">
        <v>37813070</v>
      </c>
      <c r="AE182" s="15">
        <v>0</v>
      </c>
      <c r="AF182" s="15">
        <f t="shared" si="24"/>
        <v>58977051</v>
      </c>
      <c r="AG182" s="15">
        <v>0</v>
      </c>
      <c r="AH182" s="15">
        <v>618216.02</v>
      </c>
      <c r="AI182" s="15">
        <v>0</v>
      </c>
      <c r="AJ182" s="16"/>
      <c r="AK182" s="15">
        <f t="shared" si="25"/>
        <v>34190969.170000002</v>
      </c>
      <c r="AL182" s="17">
        <f t="shared" si="26"/>
        <v>94167020.629999995</v>
      </c>
      <c r="AM182" s="22">
        <v>-178163.32</v>
      </c>
      <c r="AN182" s="34"/>
      <c r="AO182" s="15">
        <f t="shared" si="27"/>
        <v>187775093.5</v>
      </c>
      <c r="AP182" s="15">
        <f t="shared" si="28"/>
        <v>187953256.81999999</v>
      </c>
      <c r="AQ182" s="15">
        <f t="shared" si="29"/>
        <v>128357989.8</v>
      </c>
    </row>
    <row r="183" spans="2:50" s="20" customFormat="1" x14ac:dyDescent="0.25">
      <c r="B183" s="31">
        <v>44866</v>
      </c>
      <c r="C183" s="15">
        <v>5015419</v>
      </c>
      <c r="D183" s="15">
        <v>0</v>
      </c>
      <c r="E183" s="15">
        <v>5818665</v>
      </c>
      <c r="F183" s="15">
        <v>2060067.25</v>
      </c>
      <c r="G183" s="15">
        <f t="shared" si="20"/>
        <v>12894151.25</v>
      </c>
      <c r="H183" s="15">
        <v>6151103.7000000002</v>
      </c>
      <c r="I183" s="15">
        <v>4105902</v>
      </c>
      <c r="J183" s="15">
        <v>3773426.68</v>
      </c>
      <c r="K183" s="15">
        <f t="shared" si="21"/>
        <v>26924583.629999999</v>
      </c>
      <c r="L183" s="15">
        <v>15575228</v>
      </c>
      <c r="M183" s="15">
        <v>90307.819999999992</v>
      </c>
      <c r="N183" s="15">
        <v>108165619.41</v>
      </c>
      <c r="O183" s="15">
        <v>11811869.699999999</v>
      </c>
      <c r="P183" s="15">
        <v>244337.51</v>
      </c>
      <c r="Q183" s="15">
        <v>1392014.38</v>
      </c>
      <c r="R183" s="15">
        <v>1126655.25</v>
      </c>
      <c r="S183" s="15">
        <v>991473.44</v>
      </c>
      <c r="T183" s="15">
        <v>0</v>
      </c>
      <c r="U183" s="15">
        <v>0</v>
      </c>
      <c r="V183" s="15">
        <v>0</v>
      </c>
      <c r="W183" s="15">
        <f t="shared" si="22"/>
        <v>123731969.69</v>
      </c>
      <c r="X183" s="15">
        <v>0</v>
      </c>
      <c r="Y183" s="15">
        <v>180501.92</v>
      </c>
      <c r="Z183" s="15">
        <v>863395.86</v>
      </c>
      <c r="AA183" s="15">
        <v>0</v>
      </c>
      <c r="AB183" s="15">
        <f t="shared" si="23"/>
        <v>1043897.78</v>
      </c>
      <c r="AC183" s="15">
        <v>0</v>
      </c>
      <c r="AD183" s="15">
        <v>37813070</v>
      </c>
      <c r="AE183" s="15">
        <v>0</v>
      </c>
      <c r="AF183" s="15">
        <f t="shared" si="24"/>
        <v>37813070</v>
      </c>
      <c r="AG183" s="15">
        <v>0</v>
      </c>
      <c r="AH183" s="15">
        <v>742810.46</v>
      </c>
      <c r="AI183" s="15">
        <v>0</v>
      </c>
      <c r="AJ183" s="16"/>
      <c r="AK183" s="15">
        <f t="shared" si="25"/>
        <v>42590119.449999996</v>
      </c>
      <c r="AL183" s="17">
        <f t="shared" si="26"/>
        <v>124775867.47</v>
      </c>
      <c r="AM183" s="22">
        <v>0</v>
      </c>
      <c r="AN183" s="34"/>
      <c r="AO183" s="15">
        <f t="shared" si="27"/>
        <v>205921867.38</v>
      </c>
      <c r="AP183" s="15">
        <f t="shared" si="28"/>
        <v>205921867.38</v>
      </c>
      <c r="AQ183" s="15">
        <f t="shared" si="29"/>
        <v>167365986.91999999</v>
      </c>
    </row>
    <row r="184" spans="2:50" s="20" customFormat="1" x14ac:dyDescent="0.25">
      <c r="B184" s="32">
        <v>44896</v>
      </c>
      <c r="C184" s="15">
        <v>15844481.630000001</v>
      </c>
      <c r="D184" s="15">
        <v>0</v>
      </c>
      <c r="E184" s="15">
        <v>8929116</v>
      </c>
      <c r="F184" s="15">
        <v>4826116.74</v>
      </c>
      <c r="G184" s="15">
        <f t="shared" si="20"/>
        <v>29599714.370000005</v>
      </c>
      <c r="H184" s="15">
        <v>5748815.4299999997</v>
      </c>
      <c r="I184" s="15">
        <v>-3329304.91</v>
      </c>
      <c r="J184" s="15">
        <v>4001664.5200000005</v>
      </c>
      <c r="K184" s="15">
        <f t="shared" si="21"/>
        <v>36020889.410000004</v>
      </c>
      <c r="L184" s="15">
        <v>1292678</v>
      </c>
      <c r="M184" s="15">
        <v>84581.17</v>
      </c>
      <c r="N184" s="15">
        <v>112434555.69</v>
      </c>
      <c r="O184" s="15">
        <v>12737600.85</v>
      </c>
      <c r="P184" s="15">
        <v>244337.51</v>
      </c>
      <c r="Q184" s="15">
        <v>1349481.98</v>
      </c>
      <c r="R184" s="15">
        <v>1143344.98</v>
      </c>
      <c r="S184" s="15">
        <v>999570.15</v>
      </c>
      <c r="T184" s="15">
        <v>0</v>
      </c>
      <c r="U184" s="15">
        <v>0</v>
      </c>
      <c r="V184" s="15">
        <v>5328.99</v>
      </c>
      <c r="W184" s="15">
        <f t="shared" si="22"/>
        <v>128914220.15000001</v>
      </c>
      <c r="X184" s="15">
        <v>0</v>
      </c>
      <c r="Y184" s="15">
        <v>180501.92</v>
      </c>
      <c r="Z184" s="15">
        <v>1024605.41</v>
      </c>
      <c r="AA184" s="15">
        <v>0</v>
      </c>
      <c r="AB184" s="15">
        <f t="shared" si="23"/>
        <v>1205107.33</v>
      </c>
      <c r="AC184" s="15">
        <v>0</v>
      </c>
      <c r="AD184" s="15">
        <v>37813080</v>
      </c>
      <c r="AE184" s="15">
        <v>0</v>
      </c>
      <c r="AF184" s="15">
        <f t="shared" si="24"/>
        <v>37813080</v>
      </c>
      <c r="AG184" s="15">
        <v>0</v>
      </c>
      <c r="AH184" s="15">
        <v>830376.42</v>
      </c>
      <c r="AI184" s="15">
        <v>0</v>
      </c>
      <c r="AJ184" s="16"/>
      <c r="AK184" s="15">
        <f t="shared" si="25"/>
        <v>37398148.580000006</v>
      </c>
      <c r="AL184" s="17">
        <f t="shared" si="26"/>
        <v>130119327.48</v>
      </c>
      <c r="AM184" s="22">
        <v>0</v>
      </c>
      <c r="AN184" s="34"/>
      <c r="AO184" s="15">
        <f t="shared" si="27"/>
        <v>206160932.48000002</v>
      </c>
      <c r="AP184" s="15">
        <f t="shared" si="28"/>
        <v>206160932.48000002</v>
      </c>
      <c r="AQ184" s="15">
        <f t="shared" si="29"/>
        <v>167517476.06</v>
      </c>
    </row>
    <row r="185" spans="2:50" s="20" customFormat="1" x14ac:dyDescent="0.25">
      <c r="B185" s="37" t="s">
        <v>42</v>
      </c>
      <c r="C185" s="15">
        <v>131598062.2</v>
      </c>
      <c r="D185" s="15">
        <v>0</v>
      </c>
      <c r="E185" s="15">
        <v>6394584</v>
      </c>
      <c r="F185" s="15">
        <f>5300+165691.32+3445452.85+375469</f>
        <v>3991913.17</v>
      </c>
      <c r="G185" s="15">
        <f t="shared" si="20"/>
        <v>141984559.36999997</v>
      </c>
      <c r="H185" s="15">
        <v>11144747.99</v>
      </c>
      <c r="I185" s="15">
        <v>4378741.79</v>
      </c>
      <c r="J185" s="15">
        <v>5305567.7699999996</v>
      </c>
      <c r="K185" s="15">
        <f t="shared" si="21"/>
        <v>162813616.91999999</v>
      </c>
      <c r="L185" s="15">
        <v>0</v>
      </c>
      <c r="M185" s="15">
        <v>0</v>
      </c>
      <c r="N185" s="15">
        <v>117819359.62</v>
      </c>
      <c r="O185" s="15">
        <v>13452381.460000001</v>
      </c>
      <c r="P185" s="15">
        <v>625946.97</v>
      </c>
      <c r="Q185" s="15">
        <v>1362251.4</v>
      </c>
      <c r="R185" s="15">
        <v>857984.76</v>
      </c>
      <c r="S185" s="15">
        <v>1013690.58</v>
      </c>
      <c r="T185" s="15">
        <v>0</v>
      </c>
      <c r="U185" s="15">
        <v>0</v>
      </c>
      <c r="V185" s="15">
        <v>-1059683.52</v>
      </c>
      <c r="W185" s="15">
        <f t="shared" si="22"/>
        <v>134071931.27000003</v>
      </c>
      <c r="X185" s="15">
        <v>0</v>
      </c>
      <c r="Y185" s="15">
        <v>195873.55</v>
      </c>
      <c r="Z185" s="15">
        <v>1092998.52</v>
      </c>
      <c r="AA185" s="15">
        <v>0</v>
      </c>
      <c r="AB185" s="15">
        <f t="shared" si="23"/>
        <v>1288872.07</v>
      </c>
      <c r="AC185" s="15">
        <v>27348739</v>
      </c>
      <c r="AD185" s="15">
        <v>45182916</v>
      </c>
      <c r="AE185" s="15">
        <v>0</v>
      </c>
      <c r="AF185" s="15">
        <f t="shared" si="24"/>
        <v>72531655</v>
      </c>
      <c r="AG185" s="15">
        <v>0</v>
      </c>
      <c r="AH185" s="15">
        <v>4786.62</v>
      </c>
      <c r="AI185" s="15">
        <v>0</v>
      </c>
      <c r="AJ185" s="16"/>
      <c r="AK185" s="15">
        <f t="shared" si="25"/>
        <v>162813616.91999999</v>
      </c>
      <c r="AL185" s="17">
        <f t="shared" si="26"/>
        <v>135360803.34000003</v>
      </c>
      <c r="AM185" s="22">
        <v>-3310873.34</v>
      </c>
      <c r="AN185" s="34"/>
      <c r="AO185" s="15">
        <f t="shared" si="27"/>
        <v>367399988.54000002</v>
      </c>
      <c r="AP185" s="15">
        <f t="shared" si="28"/>
        <v>370710861.88</v>
      </c>
      <c r="AQ185" s="15">
        <f t="shared" si="29"/>
        <v>298174420.25999999</v>
      </c>
    </row>
    <row r="186" spans="2:50" x14ac:dyDescent="0.25">
      <c r="B186" s="37" t="s">
        <v>43</v>
      </c>
      <c r="C186" s="15">
        <v>16316794.229999997</v>
      </c>
      <c r="D186" s="15">
        <v>39753056</v>
      </c>
      <c r="E186" s="15">
        <v>7828440</v>
      </c>
      <c r="F186" s="15">
        <f>65667+1232343.39+278354+305809.35</f>
        <v>1882173.7399999998</v>
      </c>
      <c r="G186" s="15">
        <f t="shared" si="20"/>
        <v>65780463.969999999</v>
      </c>
      <c r="H186" s="15">
        <v>7454852.5</v>
      </c>
      <c r="I186" s="15">
        <v>2856579.83</v>
      </c>
      <c r="J186" s="15">
        <f>49130625.92-42940494.91-190847.14</f>
        <v>5999283.8700000057</v>
      </c>
      <c r="K186" s="15">
        <f t="shared" si="21"/>
        <v>82091180.170000002</v>
      </c>
      <c r="L186" s="15">
        <v>42940494.909999996</v>
      </c>
      <c r="M186" s="15">
        <v>190847.14</v>
      </c>
      <c r="N186" s="15">
        <v>145742883.06999999</v>
      </c>
      <c r="O186" s="15">
        <v>18388634.5</v>
      </c>
      <c r="P186" s="15">
        <v>244337.51</v>
      </c>
      <c r="Q186" s="15">
        <v>1544683.45</v>
      </c>
      <c r="R186" s="15">
        <v>1520524.15</v>
      </c>
      <c r="S186" s="15">
        <v>1324017.83</v>
      </c>
      <c r="T186" s="15">
        <v>0</v>
      </c>
      <c r="U186" s="15">
        <v>0</v>
      </c>
      <c r="V186" s="15">
        <v>-607238.16</v>
      </c>
      <c r="W186" s="15">
        <f t="shared" si="22"/>
        <v>168157842.34999999</v>
      </c>
      <c r="X186" s="15">
        <v>0</v>
      </c>
      <c r="Y186" s="15">
        <v>195873.55</v>
      </c>
      <c r="Z186" s="15">
        <v>1496733.69</v>
      </c>
      <c r="AA186" s="15">
        <v>0</v>
      </c>
      <c r="AB186" s="15">
        <f t="shared" si="23"/>
        <v>1692607.24</v>
      </c>
      <c r="AC186" s="15">
        <v>27348739</v>
      </c>
      <c r="AD186" s="15">
        <v>45182916</v>
      </c>
      <c r="AE186" s="15">
        <v>0</v>
      </c>
      <c r="AF186" s="15">
        <f t="shared" si="24"/>
        <v>72531655</v>
      </c>
      <c r="AG186" s="15">
        <v>0</v>
      </c>
      <c r="AH186" s="15">
        <v>246224.94</v>
      </c>
      <c r="AI186" s="15">
        <v>0</v>
      </c>
      <c r="AJ186" s="16"/>
      <c r="AK186" s="15">
        <f t="shared" si="25"/>
        <v>125222522.22</v>
      </c>
      <c r="AL186" s="17">
        <f t="shared" si="26"/>
        <v>169850449.59</v>
      </c>
      <c r="AM186" s="22">
        <v>-521</v>
      </c>
      <c r="AN186" s="34"/>
      <c r="AO186" s="15">
        <f t="shared" si="27"/>
        <v>367850330.75</v>
      </c>
      <c r="AP186" s="15">
        <f t="shared" si="28"/>
        <v>367850851.75</v>
      </c>
      <c r="AQ186" s="15">
        <f t="shared" si="29"/>
        <v>295072971.81</v>
      </c>
      <c r="AR186" s="20"/>
    </row>
    <row r="187" spans="2:50" x14ac:dyDescent="0.25">
      <c r="B187" s="37" t="s">
        <v>44</v>
      </c>
      <c r="C187" s="15">
        <f>19340751.56-3098214</f>
        <v>16242537.559999999</v>
      </c>
      <c r="D187" s="15">
        <v>3098214</v>
      </c>
      <c r="E187" s="15">
        <v>6982703</v>
      </c>
      <c r="F187" s="15">
        <v>2563674.37</v>
      </c>
      <c r="G187" s="15">
        <f t="shared" si="20"/>
        <v>28887128.93</v>
      </c>
      <c r="H187" s="15">
        <v>7677166.2199999997</v>
      </c>
      <c r="I187" s="15">
        <v>4198068.34</v>
      </c>
      <c r="J187" s="15">
        <f>14069025.7-7330287-26594.84</f>
        <v>6712143.8599999994</v>
      </c>
      <c r="K187" s="15">
        <f t="shared" ref="K187" si="30">SUM(G187:J187)</f>
        <v>47474507.349999994</v>
      </c>
      <c r="L187" s="15">
        <v>7330287</v>
      </c>
      <c r="M187" s="15">
        <v>26594.84</v>
      </c>
      <c r="N187" s="15">
        <v>104641454.79000001</v>
      </c>
      <c r="O187" s="15">
        <v>11609353.119999999</v>
      </c>
      <c r="P187" s="15">
        <v>244337.51</v>
      </c>
      <c r="Q187" s="15">
        <v>1162393.47</v>
      </c>
      <c r="R187" s="15">
        <v>1115684.31</v>
      </c>
      <c r="S187" s="15">
        <v>895723.09</v>
      </c>
      <c r="T187" s="15">
        <v>0</v>
      </c>
      <c r="U187" s="15">
        <v>0</v>
      </c>
      <c r="V187" s="15">
        <v>-639102.56000000006</v>
      </c>
      <c r="W187" s="15">
        <f t="shared" si="22"/>
        <v>119029843.73000002</v>
      </c>
      <c r="X187" s="15">
        <v>0</v>
      </c>
      <c r="Y187" s="15">
        <v>195873.55</v>
      </c>
      <c r="Z187" s="15">
        <v>1151948.8799999999</v>
      </c>
      <c r="AA187" s="15">
        <v>0</v>
      </c>
      <c r="AB187" s="15">
        <f t="shared" si="23"/>
        <v>1347822.43</v>
      </c>
      <c r="AC187" s="15">
        <v>27348739</v>
      </c>
      <c r="AD187" s="15">
        <v>45182916</v>
      </c>
      <c r="AE187" s="15">
        <v>0</v>
      </c>
      <c r="AF187" s="15">
        <f t="shared" si="24"/>
        <v>72531655</v>
      </c>
      <c r="AG187" s="15">
        <v>0</v>
      </c>
      <c r="AH187" s="15">
        <v>410562.35</v>
      </c>
      <c r="AI187" s="15">
        <v>0</v>
      </c>
      <c r="AJ187" s="16"/>
      <c r="AK187" s="15">
        <f t="shared" si="25"/>
        <v>54831389.189999998</v>
      </c>
      <c r="AL187" s="17">
        <f t="shared" si="26"/>
        <v>120377666.16000003</v>
      </c>
      <c r="AM187" s="22">
        <v>0</v>
      </c>
      <c r="AN187" s="34"/>
      <c r="AO187" s="15">
        <f t="shared" si="27"/>
        <v>248151272.70000002</v>
      </c>
      <c r="AP187" s="15">
        <f t="shared" si="28"/>
        <v>248151272.70000002</v>
      </c>
      <c r="AQ187" s="15">
        <f t="shared" si="29"/>
        <v>175209055.35000002</v>
      </c>
      <c r="AR187" s="20"/>
    </row>
    <row r="188" spans="2:50" x14ac:dyDescent="0.25">
      <c r="B188" s="37" t="s">
        <v>45</v>
      </c>
      <c r="C188" s="15">
        <f>7590172.84-3496077</f>
        <v>4094095.84</v>
      </c>
      <c r="D188" s="15">
        <v>3496077</v>
      </c>
      <c r="E188" s="15">
        <v>4753844</v>
      </c>
      <c r="F188" s="15">
        <f>51653+11826+947434.72+300872</f>
        <v>1311785.72</v>
      </c>
      <c r="G188" s="15">
        <f t="shared" si="20"/>
        <v>13655802.560000001</v>
      </c>
      <c r="H188" s="15">
        <v>4898657.07</v>
      </c>
      <c r="I188" s="38">
        <v>3682275.52</v>
      </c>
      <c r="J188" s="15">
        <f>6661554.27-59338.09</f>
        <v>6602216.1799999997</v>
      </c>
      <c r="K188" s="15">
        <f t="shared" ref="K188" si="31">SUM(G188:J188)</f>
        <v>28838951.330000002</v>
      </c>
      <c r="L188" s="15">
        <v>0</v>
      </c>
      <c r="M188" s="15">
        <v>59338.09</v>
      </c>
      <c r="N188" s="15">
        <v>146073460.31999999</v>
      </c>
      <c r="O188" s="15">
        <v>17461861.379999999</v>
      </c>
      <c r="P188" s="15">
        <v>743186.3</v>
      </c>
      <c r="Q188" s="15">
        <v>1131726.83</v>
      </c>
      <c r="R188" s="15">
        <v>1100013.1599999999</v>
      </c>
      <c r="S188" s="15">
        <v>948578.4</v>
      </c>
      <c r="T188" s="15">
        <v>0</v>
      </c>
      <c r="U188" s="15">
        <v>0</v>
      </c>
      <c r="V188" s="15">
        <v>-487944.51</v>
      </c>
      <c r="W188" s="15">
        <f t="shared" ref="W188" si="32">SUM(N188:V188)</f>
        <v>166970881.88000003</v>
      </c>
      <c r="X188" s="15">
        <v>0</v>
      </c>
      <c r="Y188" s="15">
        <v>195873.55</v>
      </c>
      <c r="Z188" s="15">
        <v>1059344.03</v>
      </c>
      <c r="AA188" s="15">
        <v>0</v>
      </c>
      <c r="AB188" s="15">
        <f t="shared" ref="AB188" si="33">SUM(X188:AA188)</f>
        <v>1255217.58</v>
      </c>
      <c r="AC188" s="15">
        <v>27348739</v>
      </c>
      <c r="AD188" s="15">
        <v>45182916</v>
      </c>
      <c r="AE188" s="15">
        <v>0</v>
      </c>
      <c r="AF188" s="15">
        <f t="shared" ref="AF188" si="34">SUM(AC188:AE188)</f>
        <v>72531655</v>
      </c>
      <c r="AG188" s="15">
        <v>0</v>
      </c>
      <c r="AH188" s="38">
        <f>-32176.25-0.28+349893.72-794.52</f>
        <v>316922.66999999993</v>
      </c>
      <c r="AI188" s="15">
        <v>0</v>
      </c>
      <c r="AJ188" s="16"/>
      <c r="AK188" s="15">
        <f t="shared" si="25"/>
        <v>28898289.420000002</v>
      </c>
      <c r="AL188" s="17">
        <f t="shared" si="26"/>
        <v>168226099.46000004</v>
      </c>
      <c r="AM188" s="22">
        <v>-6432152.4299999997</v>
      </c>
      <c r="AN188" s="34"/>
      <c r="AO188" s="15">
        <f t="shared" si="27"/>
        <v>263540814.12000006</v>
      </c>
      <c r="AP188" s="15">
        <f t="shared" si="28"/>
        <v>269972966.55000007</v>
      </c>
      <c r="AQ188" s="15">
        <f t="shared" si="29"/>
        <v>197124388.88000005</v>
      </c>
      <c r="AR188" s="20"/>
    </row>
    <row r="189" spans="2:50" x14ac:dyDescent="0.25">
      <c r="B189" s="37" t="s">
        <v>46</v>
      </c>
      <c r="C189" s="15">
        <v>4294645.1399999997</v>
      </c>
      <c r="D189" s="38">
        <v>0</v>
      </c>
      <c r="E189" s="15">
        <v>7627926</v>
      </c>
      <c r="F189" s="15">
        <f>260860+1375724.64+371296</f>
        <v>2007880.64</v>
      </c>
      <c r="G189" s="15">
        <f t="shared" ref="G189" si="35">SUM(C189:F189)</f>
        <v>13930451.780000001</v>
      </c>
      <c r="H189" s="15">
        <v>5985014.5499999998</v>
      </c>
      <c r="I189" s="38">
        <v>5209510.49</v>
      </c>
      <c r="J189" s="15">
        <f>16207877.85-8764827-60913.89</f>
        <v>7382136.96</v>
      </c>
      <c r="K189" s="15">
        <f t="shared" ref="K189" si="36">SUM(G189:J189)</f>
        <v>32507113.780000001</v>
      </c>
      <c r="L189" s="15">
        <v>8764827</v>
      </c>
      <c r="M189" s="15">
        <v>60913.89</v>
      </c>
      <c r="N189" s="15">
        <v>128493753.2</v>
      </c>
      <c r="O189" s="15">
        <v>17386240.399999999</v>
      </c>
      <c r="P189" s="15">
        <v>292562.65999999997</v>
      </c>
      <c r="Q189" s="15">
        <v>1574729.66</v>
      </c>
      <c r="R189" s="15">
        <v>674766.51</v>
      </c>
      <c r="S189" s="15">
        <v>1311857.28</v>
      </c>
      <c r="T189" s="15">
        <v>0</v>
      </c>
      <c r="U189" s="15">
        <v>0</v>
      </c>
      <c r="V189" s="15">
        <v>-564012.99</v>
      </c>
      <c r="W189" s="15">
        <f t="shared" ref="W189" si="37">SUM(N189:V189)</f>
        <v>149169896.71999997</v>
      </c>
      <c r="X189" s="15">
        <v>0</v>
      </c>
      <c r="Y189" s="15">
        <v>195873.55</v>
      </c>
      <c r="Z189" s="15">
        <v>1208606.21</v>
      </c>
      <c r="AA189" s="15">
        <v>0</v>
      </c>
      <c r="AB189" s="15">
        <f t="shared" ref="AB189:AB195" si="38">SUM(X189:AA189)</f>
        <v>1404479.76</v>
      </c>
      <c r="AC189" s="15">
        <v>27348739</v>
      </c>
      <c r="AD189" s="15">
        <v>45182916</v>
      </c>
      <c r="AE189" s="15">
        <v>4000000</v>
      </c>
      <c r="AF189" s="15">
        <f t="shared" ref="AF189:AF195" si="39">SUM(AC189:AE189)</f>
        <v>76531655</v>
      </c>
      <c r="AG189" s="15">
        <v>0</v>
      </c>
      <c r="AH189" s="38">
        <f>298731.9+535192.56</f>
        <v>833924.46000000008</v>
      </c>
      <c r="AI189" s="15">
        <v>0</v>
      </c>
      <c r="AJ189" s="16"/>
      <c r="AK189" s="15">
        <f t="shared" si="25"/>
        <v>41332854.670000002</v>
      </c>
      <c r="AL189" s="17">
        <f t="shared" si="26"/>
        <v>150574376.47999996</v>
      </c>
      <c r="AM189" s="22">
        <v>-4338</v>
      </c>
      <c r="AN189" s="34"/>
      <c r="AO189" s="15">
        <f t="shared" si="27"/>
        <v>269268472.60999995</v>
      </c>
      <c r="AP189" s="15">
        <f t="shared" si="28"/>
        <v>269272810.60999995</v>
      </c>
      <c r="AQ189" s="15">
        <f t="shared" si="29"/>
        <v>191907231.14999998</v>
      </c>
      <c r="AR189" s="20"/>
    </row>
    <row r="190" spans="2:50" x14ac:dyDescent="0.25">
      <c r="B190" s="37" t="s">
        <v>47</v>
      </c>
      <c r="C190" s="15">
        <v>4089398.25</v>
      </c>
      <c r="D190" s="38">
        <v>0</v>
      </c>
      <c r="E190" s="15">
        <v>7988669</v>
      </c>
      <c r="F190" s="15">
        <f>524074+205411.74+1361119.25+298840</f>
        <v>2389444.9900000002</v>
      </c>
      <c r="G190" s="15">
        <f t="shared" ref="G190" si="40">SUM(C190:F190)</f>
        <v>14467512.24</v>
      </c>
      <c r="H190" s="15">
        <v>6550368.9000000004</v>
      </c>
      <c r="I190" s="38">
        <v>3549289.23</v>
      </c>
      <c r="J190" s="15">
        <v>6744541.9400000013</v>
      </c>
      <c r="K190" s="15">
        <f t="shared" ref="K190" si="41">SUM(G190:J190)</f>
        <v>31311712.310000002</v>
      </c>
      <c r="L190" s="15">
        <v>16151600</v>
      </c>
      <c r="M190" s="15">
        <v>101612.98</v>
      </c>
      <c r="N190" s="15">
        <f>144310079.71+547723.33</f>
        <v>144857803.04000002</v>
      </c>
      <c r="O190" s="15">
        <v>17787481.23</v>
      </c>
      <c r="P190" s="15">
        <v>244337.51</v>
      </c>
      <c r="Q190" s="15">
        <v>1205932.19</v>
      </c>
      <c r="R190" s="15">
        <v>0</v>
      </c>
      <c r="S190" s="15">
        <v>1106608.74</v>
      </c>
      <c r="T190" s="15">
        <v>0</v>
      </c>
      <c r="U190" s="15">
        <v>0</v>
      </c>
      <c r="V190" s="38">
        <f>-547723.33</f>
        <v>-547723.32999999996</v>
      </c>
      <c r="W190" s="15">
        <f t="shared" ref="W190" si="42">SUM(N190:V190)</f>
        <v>164654439.38</v>
      </c>
      <c r="X190" s="15">
        <v>0</v>
      </c>
      <c r="Y190" s="15">
        <v>195873.55</v>
      </c>
      <c r="Z190" s="15">
        <v>1089795.8500000001</v>
      </c>
      <c r="AA190" s="15">
        <v>0</v>
      </c>
      <c r="AB190" s="15">
        <f t="shared" si="38"/>
        <v>1285669.4000000001</v>
      </c>
      <c r="AC190" s="15">
        <v>27348739</v>
      </c>
      <c r="AD190" s="15">
        <v>45182916</v>
      </c>
      <c r="AE190" s="15">
        <v>0</v>
      </c>
      <c r="AF190" s="15">
        <f t="shared" si="39"/>
        <v>72531655</v>
      </c>
      <c r="AG190" s="15">
        <v>0</v>
      </c>
      <c r="AH190" s="38">
        <f>453535.38+606091.77</f>
        <v>1059627.1499999999</v>
      </c>
      <c r="AI190" s="15">
        <v>0</v>
      </c>
      <c r="AJ190" s="16"/>
      <c r="AK190" s="15">
        <f t="shared" si="25"/>
        <v>47564925.289999999</v>
      </c>
      <c r="AL190" s="17">
        <f t="shared" si="26"/>
        <v>165940108.78</v>
      </c>
      <c r="AM190" s="22">
        <v>-770</v>
      </c>
      <c r="AN190" s="34"/>
      <c r="AO190" s="15">
        <f t="shared" si="27"/>
        <v>287095546.22000003</v>
      </c>
      <c r="AP190" s="15">
        <f t="shared" si="28"/>
        <v>287096316.22000003</v>
      </c>
      <c r="AQ190" s="15">
        <f t="shared" si="29"/>
        <v>213505034.06999999</v>
      </c>
      <c r="AR190" s="20"/>
    </row>
    <row r="191" spans="2:50" x14ac:dyDescent="0.25">
      <c r="B191" s="37" t="s">
        <v>48</v>
      </c>
      <c r="C191" s="15">
        <v>7042721.1399999997</v>
      </c>
      <c r="D191" s="38">
        <v>0</v>
      </c>
      <c r="E191" s="15">
        <v>6485385</v>
      </c>
      <c r="F191" s="15">
        <f>461546+32674.16+2197727.34+327495</f>
        <v>3019442.5</v>
      </c>
      <c r="G191" s="15">
        <f t="shared" ref="G191" si="43">SUM(C191:F191)</f>
        <v>16547548.640000001</v>
      </c>
      <c r="H191" s="15">
        <v>5863659.6799999997</v>
      </c>
      <c r="I191" s="38">
        <v>4125936.49</v>
      </c>
      <c r="J191" s="15">
        <v>5675981.29</v>
      </c>
      <c r="K191" s="15">
        <f t="shared" ref="K191:K196" si="44">SUM(G191:J191)</f>
        <v>32213126.100000001</v>
      </c>
      <c r="L191" s="15">
        <v>0</v>
      </c>
      <c r="M191" s="15">
        <v>141371.39000000001</v>
      </c>
      <c r="N191" s="15">
        <v>117183233.61</v>
      </c>
      <c r="O191" s="15">
        <v>13463381.34</v>
      </c>
      <c r="P191" s="15">
        <v>707495.28</v>
      </c>
      <c r="Q191" s="15">
        <v>1430569.57</v>
      </c>
      <c r="R191" s="15">
        <v>845064.34</v>
      </c>
      <c r="S191" s="15">
        <v>1131661.6200000001</v>
      </c>
      <c r="T191" s="15">
        <v>0</v>
      </c>
      <c r="U191" s="15">
        <v>0</v>
      </c>
      <c r="V191" s="15">
        <f>59412475.21+8509208.62+174108.41</f>
        <v>68095792.239999995</v>
      </c>
      <c r="W191" s="15">
        <f t="shared" ref="W191" si="45">SUM(N191:V191)</f>
        <v>202857198</v>
      </c>
      <c r="X191" s="15">
        <v>0</v>
      </c>
      <c r="Y191" s="15">
        <v>195873.55</v>
      </c>
      <c r="Z191" s="15">
        <v>1105673.54</v>
      </c>
      <c r="AA191" s="15">
        <v>0</v>
      </c>
      <c r="AB191" s="15">
        <f t="shared" si="38"/>
        <v>1301547.0900000001</v>
      </c>
      <c r="AC191" s="15">
        <v>27348739</v>
      </c>
      <c r="AD191" s="15">
        <v>45182916</v>
      </c>
      <c r="AE191" s="15">
        <v>0</v>
      </c>
      <c r="AF191" s="15">
        <f t="shared" si="39"/>
        <v>72531655</v>
      </c>
      <c r="AG191" s="15">
        <v>0</v>
      </c>
      <c r="AH191" s="38">
        <f>401919.3+652840.01</f>
        <v>1054759.31</v>
      </c>
      <c r="AI191" s="15">
        <v>0</v>
      </c>
      <c r="AJ191" s="16"/>
      <c r="AK191" s="15">
        <f t="shared" si="25"/>
        <v>32354497.490000002</v>
      </c>
      <c r="AL191" s="17">
        <f t="shared" si="26"/>
        <v>204158745.09</v>
      </c>
      <c r="AM191" s="22">
        <v>0</v>
      </c>
      <c r="AN191" s="34"/>
      <c r="AO191" s="15">
        <f t="shared" si="27"/>
        <v>310099656.88999999</v>
      </c>
      <c r="AP191" s="15">
        <f t="shared" si="28"/>
        <v>310099656.88999999</v>
      </c>
      <c r="AQ191" s="15">
        <f t="shared" si="29"/>
        <v>236513242.58000001</v>
      </c>
      <c r="AR191" s="20"/>
    </row>
    <row r="192" spans="2:50" x14ac:dyDescent="0.25">
      <c r="B192" s="37" t="s">
        <v>49</v>
      </c>
      <c r="C192" s="15">
        <v>8229925.5999999996</v>
      </c>
      <c r="D192" s="38">
        <v>0</v>
      </c>
      <c r="E192" s="15">
        <v>7099582.54</v>
      </c>
      <c r="F192" s="15">
        <f>347349.49+24742+2283660.43+283876+24752</f>
        <v>2964379.92</v>
      </c>
      <c r="G192" s="15">
        <f t="shared" ref="G192" si="46">SUM(C192:F192)</f>
        <v>18293888.060000002</v>
      </c>
      <c r="H192" s="15">
        <v>5763264.5899999999</v>
      </c>
      <c r="I192" s="38">
        <v>3950098.03</v>
      </c>
      <c r="J192" s="15">
        <f>14099090.85-7678525-99743.95</f>
        <v>6320821.8999999994</v>
      </c>
      <c r="K192" s="15">
        <f t="shared" si="44"/>
        <v>34328072.580000006</v>
      </c>
      <c r="L192" s="15">
        <v>7678525</v>
      </c>
      <c r="M192" s="15">
        <v>99743.95</v>
      </c>
      <c r="N192" s="38">
        <v>141857633.47</v>
      </c>
      <c r="O192" s="15">
        <v>16955859.649999999</v>
      </c>
      <c r="P192" s="15">
        <v>244337.51</v>
      </c>
      <c r="Q192" s="15">
        <v>1432376.51</v>
      </c>
      <c r="R192" s="15">
        <v>880152.63</v>
      </c>
      <c r="S192" s="15">
        <v>1163518.8500000001</v>
      </c>
      <c r="T192" s="15">
        <v>0</v>
      </c>
      <c r="U192" s="15">
        <v>0</v>
      </c>
      <c r="V192" s="15">
        <f>9747905.83+1457548.22+192509.25</f>
        <v>11397963.300000001</v>
      </c>
      <c r="W192" s="15">
        <f t="shared" ref="W192" si="47">SUM(N192:V192)</f>
        <v>173931841.91999999</v>
      </c>
      <c r="X192" s="15">
        <v>0</v>
      </c>
      <c r="Y192" s="15">
        <v>195873.55</v>
      </c>
      <c r="Z192" s="15">
        <v>1222704.48</v>
      </c>
      <c r="AA192" s="15">
        <v>0</v>
      </c>
      <c r="AB192" s="15">
        <f t="shared" si="38"/>
        <v>1418578.03</v>
      </c>
      <c r="AC192" s="15">
        <v>27348739</v>
      </c>
      <c r="AD192" s="15">
        <v>45182916</v>
      </c>
      <c r="AE192" s="15">
        <v>0</v>
      </c>
      <c r="AF192" s="15">
        <f t="shared" si="39"/>
        <v>72531655</v>
      </c>
      <c r="AG192" s="15">
        <v>0</v>
      </c>
      <c r="AH192" s="38">
        <f>380326.19+492276.44</f>
        <v>872602.63</v>
      </c>
      <c r="AI192" s="15">
        <v>0</v>
      </c>
      <c r="AJ192" s="16"/>
      <c r="AK192" s="15">
        <f t="shared" si="25"/>
        <v>42106341.530000009</v>
      </c>
      <c r="AL192" s="17">
        <f t="shared" si="26"/>
        <v>175350419.94999999</v>
      </c>
      <c r="AM192" s="22">
        <v>-3253.48</v>
      </c>
      <c r="AN192" s="34"/>
      <c r="AO192" s="15">
        <f t="shared" si="27"/>
        <v>290857765.63</v>
      </c>
      <c r="AP192" s="15">
        <f t="shared" si="28"/>
        <v>290861019.11000001</v>
      </c>
      <c r="AQ192" s="15">
        <f t="shared" si="29"/>
        <v>217456761.47999999</v>
      </c>
      <c r="AR192" s="20"/>
    </row>
    <row r="193" spans="2:44" x14ac:dyDescent="0.25">
      <c r="B193" s="37" t="s">
        <v>50</v>
      </c>
      <c r="C193" s="15">
        <v>6902715.8499999996</v>
      </c>
      <c r="D193" s="38">
        <v>0</v>
      </c>
      <c r="E193" s="15">
        <v>6366573.0999999996</v>
      </c>
      <c r="F193" s="15">
        <f>162363+271850.5+2114682.04+306274+718197</f>
        <v>3573366.54</v>
      </c>
      <c r="G193" s="15">
        <f t="shared" ref="G193:G195" si="48">SUM(C193:F193)</f>
        <v>16842655.489999998</v>
      </c>
      <c r="H193" s="15">
        <v>4755000.96</v>
      </c>
      <c r="I193" s="38">
        <v>3613292.17</v>
      </c>
      <c r="J193" s="15">
        <f>12310115.21-6134606-71374.95</f>
        <v>6104134.2600000007</v>
      </c>
      <c r="K193" s="15">
        <f t="shared" si="44"/>
        <v>31315082.879999999</v>
      </c>
      <c r="L193" s="15">
        <v>6134606</v>
      </c>
      <c r="M193" s="15">
        <v>71374.95</v>
      </c>
      <c r="N193" s="38">
        <v>107701321.08</v>
      </c>
      <c r="O193" s="15">
        <v>12203904.52</v>
      </c>
      <c r="P193" s="15">
        <v>244337.51</v>
      </c>
      <c r="Q193" s="15">
        <v>1466409.92</v>
      </c>
      <c r="R193" s="15">
        <v>935603.69</v>
      </c>
      <c r="S193" s="15">
        <v>1099733.73</v>
      </c>
      <c r="T193" s="15">
        <v>0</v>
      </c>
      <c r="U193" s="15">
        <v>0</v>
      </c>
      <c r="V193" s="15">
        <v>-1109597.3799999999</v>
      </c>
      <c r="W193" s="15">
        <f t="shared" ref="W193" si="49">SUM(N193:V193)</f>
        <v>122541713.07000001</v>
      </c>
      <c r="X193" s="15">
        <v>0</v>
      </c>
      <c r="Y193" s="15">
        <v>195873.55</v>
      </c>
      <c r="Z193" s="15">
        <v>1008686.31</v>
      </c>
      <c r="AA193" s="15">
        <v>0</v>
      </c>
      <c r="AB193" s="15">
        <f t="shared" si="38"/>
        <v>1204559.8600000001</v>
      </c>
      <c r="AC193" s="15">
        <v>27348739</v>
      </c>
      <c r="AD193" s="15">
        <v>45182916</v>
      </c>
      <c r="AE193" s="15">
        <v>0</v>
      </c>
      <c r="AF193" s="15">
        <f t="shared" si="39"/>
        <v>72531655</v>
      </c>
      <c r="AG193" s="15">
        <v>0</v>
      </c>
      <c r="AH193" s="38">
        <f>352868.2+501775.71</f>
        <v>854643.91</v>
      </c>
      <c r="AI193" s="15">
        <v>0</v>
      </c>
      <c r="AJ193" s="16"/>
      <c r="AK193" s="15">
        <f t="shared" si="25"/>
        <v>37521063.829999998</v>
      </c>
      <c r="AL193" s="17">
        <f t="shared" si="26"/>
        <v>123746272.93000001</v>
      </c>
      <c r="AM193" s="22">
        <v>0</v>
      </c>
      <c r="AN193" s="34"/>
      <c r="AO193" s="15">
        <f t="shared" si="27"/>
        <v>234653635.67000002</v>
      </c>
      <c r="AP193" s="15">
        <f t="shared" si="28"/>
        <v>234653635.67000002</v>
      </c>
      <c r="AQ193" s="15">
        <f t="shared" si="29"/>
        <v>161267336.75999999</v>
      </c>
      <c r="AR193" s="20"/>
    </row>
    <row r="194" spans="2:44" x14ac:dyDescent="0.25">
      <c r="B194" s="37" t="s">
        <v>51</v>
      </c>
      <c r="C194" s="15">
        <v>6245826.0999999996</v>
      </c>
      <c r="D194" s="38">
        <v>0</v>
      </c>
      <c r="E194" s="15">
        <v>10869525</v>
      </c>
      <c r="F194" s="15">
        <v>2912900</v>
      </c>
      <c r="G194" s="15">
        <f t="shared" si="48"/>
        <v>20028251.100000001</v>
      </c>
      <c r="H194" s="15">
        <v>5630532.54</v>
      </c>
      <c r="I194" s="38">
        <v>2388443.41</v>
      </c>
      <c r="J194" s="15">
        <v>6063512.1499999994</v>
      </c>
      <c r="K194" s="15">
        <f t="shared" si="44"/>
        <v>34110739.200000003</v>
      </c>
      <c r="L194" s="15">
        <v>8404517</v>
      </c>
      <c r="M194" s="15">
        <v>52009.71</v>
      </c>
      <c r="N194" s="38">
        <f>112440453.39-14286247.41</f>
        <v>98154205.980000004</v>
      </c>
      <c r="O194" s="15">
        <v>7491043.1299999999</v>
      </c>
      <c r="P194" s="15">
        <v>683438</v>
      </c>
      <c r="Q194" s="15">
        <v>1540849.09</v>
      </c>
      <c r="R194" s="15">
        <v>775979.48</v>
      </c>
      <c r="S194" s="15">
        <v>1127485.82</v>
      </c>
      <c r="T194" s="15">
        <v>0</v>
      </c>
      <c r="U194" s="15">
        <v>0</v>
      </c>
      <c r="V194" s="15">
        <f>12967699.77+2038903.43</f>
        <v>15006603.199999999</v>
      </c>
      <c r="W194" s="15">
        <f t="shared" ref="W194" si="50">SUM(N194:V194)</f>
        <v>124779604.7</v>
      </c>
      <c r="X194" s="15">
        <v>0</v>
      </c>
      <c r="Y194" s="15">
        <v>195873.55</v>
      </c>
      <c r="Z194" s="15">
        <v>1221808.58</v>
      </c>
      <c r="AA194" s="15">
        <v>0</v>
      </c>
      <c r="AB194" s="15">
        <f t="shared" si="38"/>
        <v>1417682.1300000001</v>
      </c>
      <c r="AC194" s="15">
        <v>27348743</v>
      </c>
      <c r="AD194" s="15">
        <v>45182916</v>
      </c>
      <c r="AE194" s="15">
        <v>0</v>
      </c>
      <c r="AF194" s="15">
        <f t="shared" si="39"/>
        <v>72531659</v>
      </c>
      <c r="AG194" s="15">
        <v>0</v>
      </c>
      <c r="AH194" s="38">
        <v>885124.67999999993</v>
      </c>
      <c r="AI194" s="15">
        <v>0</v>
      </c>
      <c r="AJ194" s="16"/>
      <c r="AK194" s="15">
        <f t="shared" si="25"/>
        <v>42567265.910000004</v>
      </c>
      <c r="AL194" s="17">
        <f t="shared" si="26"/>
        <v>126197286.83</v>
      </c>
      <c r="AM194" s="22">
        <v>0</v>
      </c>
      <c r="AN194" s="34"/>
      <c r="AO194" s="15">
        <f t="shared" si="27"/>
        <v>242181336.42000002</v>
      </c>
      <c r="AP194" s="15">
        <f t="shared" si="28"/>
        <v>242181336.42000002</v>
      </c>
      <c r="AQ194" s="15">
        <f t="shared" si="29"/>
        <v>168764552.74000001</v>
      </c>
      <c r="AR194" s="20"/>
    </row>
    <row r="195" spans="2:44" x14ac:dyDescent="0.25">
      <c r="B195" s="37" t="s">
        <v>52</v>
      </c>
      <c r="C195" s="15">
        <v>5477516.9100000001</v>
      </c>
      <c r="D195" s="38">
        <v>0</v>
      </c>
      <c r="E195" s="15">
        <v>6643054</v>
      </c>
      <c r="F195" s="15">
        <v>2506770.9</v>
      </c>
      <c r="G195" s="15">
        <f t="shared" si="48"/>
        <v>14627341.810000001</v>
      </c>
      <c r="H195" s="15">
        <v>13375401.560000001</v>
      </c>
      <c r="I195" s="38">
        <v>3764209.59</v>
      </c>
      <c r="J195" s="15">
        <v>5826691.9799999995</v>
      </c>
      <c r="K195" s="15">
        <f t="shared" si="44"/>
        <v>37593644.939999998</v>
      </c>
      <c r="L195" s="15">
        <v>7698431</v>
      </c>
      <c r="M195" s="15">
        <v>151136.78</v>
      </c>
      <c r="N195" s="38">
        <v>111854374.53</v>
      </c>
      <c r="O195" s="15">
        <v>0</v>
      </c>
      <c r="P195" s="15">
        <v>0</v>
      </c>
      <c r="Q195" s="15">
        <v>1431043.16</v>
      </c>
      <c r="R195" s="15">
        <v>915486.4</v>
      </c>
      <c r="S195" s="15">
        <v>1071237.3500000001</v>
      </c>
      <c r="T195" s="15">
        <v>0</v>
      </c>
      <c r="U195" s="15">
        <v>0</v>
      </c>
      <c r="V195" s="15">
        <f>8072146.75+1417385.35</f>
        <v>9489532.0999999996</v>
      </c>
      <c r="W195" s="15">
        <f t="shared" ref="W195" si="51">SUM(N195:V195)</f>
        <v>124761673.53999999</v>
      </c>
      <c r="X195" s="15">
        <v>0</v>
      </c>
      <c r="Y195" s="15">
        <v>195873.55</v>
      </c>
      <c r="Z195" s="15">
        <v>0</v>
      </c>
      <c r="AA195" s="15">
        <v>0</v>
      </c>
      <c r="AB195" s="15">
        <f t="shared" si="38"/>
        <v>195873.55</v>
      </c>
      <c r="AC195" s="15">
        <v>0</v>
      </c>
      <c r="AD195" s="15">
        <v>0</v>
      </c>
      <c r="AE195" s="15">
        <v>0</v>
      </c>
      <c r="AF195" s="15">
        <f t="shared" si="39"/>
        <v>0</v>
      </c>
      <c r="AG195" s="15">
        <v>0</v>
      </c>
      <c r="AH195" s="38">
        <v>922390.42999999993</v>
      </c>
      <c r="AI195" s="15">
        <v>0</v>
      </c>
      <c r="AJ195" s="16"/>
      <c r="AK195" s="15">
        <f t="shared" si="25"/>
        <v>45443212.719999999</v>
      </c>
      <c r="AL195" s="17">
        <f t="shared" si="26"/>
        <v>124957547.08999999</v>
      </c>
      <c r="AM195" s="22">
        <v>0</v>
      </c>
      <c r="AN195" s="34"/>
      <c r="AO195" s="15">
        <f t="shared" si="27"/>
        <v>171323150.23999998</v>
      </c>
      <c r="AP195" s="15">
        <f t="shared" si="28"/>
        <v>171323150.23999998</v>
      </c>
      <c r="AQ195" s="15">
        <f t="shared" si="29"/>
        <v>170400759.81</v>
      </c>
      <c r="AR195" s="20"/>
    </row>
    <row r="196" spans="2:44" x14ac:dyDescent="0.25">
      <c r="B196" s="37" t="s">
        <v>53</v>
      </c>
      <c r="C196" s="15">
        <v>10828433.1</v>
      </c>
      <c r="D196" s="38">
        <v>0</v>
      </c>
      <c r="E196" s="15">
        <v>10378779</v>
      </c>
      <c r="F196" s="15">
        <v>3446873.9</v>
      </c>
      <c r="G196" s="15">
        <f t="shared" ref="G196" si="52">SUM(C196:F196)</f>
        <v>24654086</v>
      </c>
      <c r="H196" s="15">
        <v>6085768.6100000003</v>
      </c>
      <c r="I196" s="38">
        <v>5711086.6500000004</v>
      </c>
      <c r="J196" s="15">
        <v>7348428.8000000007</v>
      </c>
      <c r="K196" s="15">
        <f t="shared" si="44"/>
        <v>43799370.060000002</v>
      </c>
      <c r="L196" s="15">
        <v>8557477</v>
      </c>
      <c r="M196" s="15">
        <v>1982043.75</v>
      </c>
      <c r="N196" s="38">
        <v>100285572.8</v>
      </c>
      <c r="O196" s="15">
        <v>28159683.350000001</v>
      </c>
      <c r="P196" s="15">
        <v>436273.54</v>
      </c>
      <c r="Q196" s="15">
        <v>1525344.14</v>
      </c>
      <c r="R196" s="15">
        <v>914948.02</v>
      </c>
      <c r="S196" s="15">
        <v>1138069.6299999999</v>
      </c>
      <c r="T196" s="15">
        <v>0</v>
      </c>
      <c r="U196" s="15">
        <v>0</v>
      </c>
      <c r="V196" s="15">
        <v>7123367.1500000004</v>
      </c>
      <c r="W196" s="15">
        <f t="shared" ref="W196:W197" si="53">SUM(N196:V196)</f>
        <v>139583258.63</v>
      </c>
      <c r="X196" s="15">
        <v>0</v>
      </c>
      <c r="Y196" s="15">
        <v>195873.55</v>
      </c>
      <c r="Z196" s="15">
        <v>2526642.2200000002</v>
      </c>
      <c r="AA196" s="15">
        <v>0</v>
      </c>
      <c r="AB196" s="15">
        <f t="shared" ref="AB196:AB197" si="54">SUM(X196:AA196)</f>
        <v>2722515.77</v>
      </c>
      <c r="AC196" s="15">
        <v>0</v>
      </c>
      <c r="AD196" s="15">
        <v>90365864</v>
      </c>
      <c r="AE196" s="15">
        <v>0</v>
      </c>
      <c r="AF196" s="15">
        <f t="shared" ref="AF196:AF197" si="55">SUM(AC196:AE196)</f>
        <v>90365864</v>
      </c>
      <c r="AG196" s="15">
        <v>0</v>
      </c>
      <c r="AH196" s="38">
        <v>1180134.21</v>
      </c>
      <c r="AI196" s="15">
        <v>0</v>
      </c>
      <c r="AJ196" s="16"/>
      <c r="AK196" s="15">
        <f t="shared" si="25"/>
        <v>54338890.810000002</v>
      </c>
      <c r="AL196" s="17">
        <f t="shared" si="26"/>
        <v>142305774.40000001</v>
      </c>
      <c r="AM196" s="22">
        <v>4764245.22</v>
      </c>
      <c r="AN196" s="34"/>
      <c r="AO196" s="15">
        <f t="shared" si="27"/>
        <v>292954908.63999999</v>
      </c>
      <c r="AP196" s="15">
        <f t="shared" si="28"/>
        <v>288190663.41999996</v>
      </c>
      <c r="AQ196" s="15">
        <f t="shared" si="29"/>
        <v>196644665.21000001</v>
      </c>
      <c r="AR196" s="20"/>
    </row>
    <row r="197" spans="2:44" x14ac:dyDescent="0.25">
      <c r="B197" s="37" t="s">
        <v>54</v>
      </c>
      <c r="C197" s="15">
        <f>193171983-D197</f>
        <v>148681184</v>
      </c>
      <c r="D197" s="38">
        <v>44490799</v>
      </c>
      <c r="E197" s="15">
        <v>5078262</v>
      </c>
      <c r="F197" s="15">
        <v>4814197.26</v>
      </c>
      <c r="G197" s="15">
        <f t="shared" ref="G197" si="56">SUM(C197:F197)</f>
        <v>203064442.25999999</v>
      </c>
      <c r="H197" s="15">
        <v>12902419.869999999</v>
      </c>
      <c r="I197" s="38">
        <v>4204619.29</v>
      </c>
      <c r="J197" s="15">
        <v>6434247.7199999997</v>
      </c>
      <c r="K197" s="15">
        <f t="shared" ref="K197" si="57">SUM(G197:J197)</f>
        <v>226605729.13999999</v>
      </c>
      <c r="L197" s="15">
        <v>0</v>
      </c>
      <c r="M197" s="15">
        <v>0</v>
      </c>
      <c r="N197" s="38">
        <v>148477791.61000001</v>
      </c>
      <c r="O197" s="15">
        <v>17880843.41</v>
      </c>
      <c r="P197" s="15">
        <v>750546.75</v>
      </c>
      <c r="Q197" s="15">
        <v>1455552.62</v>
      </c>
      <c r="R197" s="15">
        <v>624191.48</v>
      </c>
      <c r="S197" s="15">
        <v>1153859.58</v>
      </c>
      <c r="T197" s="15">
        <v>0</v>
      </c>
      <c r="U197" s="15">
        <v>0</v>
      </c>
      <c r="V197" s="15">
        <v>-1768842.05</v>
      </c>
      <c r="W197" s="15">
        <f t="shared" si="53"/>
        <v>168573943.40000001</v>
      </c>
      <c r="X197" s="15">
        <v>0</v>
      </c>
      <c r="Y197" s="15">
        <v>202223.06</v>
      </c>
      <c r="Z197" s="15">
        <v>1461780.56</v>
      </c>
      <c r="AA197" s="15">
        <v>0</v>
      </c>
      <c r="AB197" s="15">
        <f t="shared" si="54"/>
        <v>1664003.62</v>
      </c>
      <c r="AC197" s="15">
        <v>31169081</v>
      </c>
      <c r="AD197" s="15">
        <v>46304981</v>
      </c>
      <c r="AE197" s="15">
        <v>0</v>
      </c>
      <c r="AF197" s="15">
        <f t="shared" si="55"/>
        <v>77474062</v>
      </c>
      <c r="AG197" s="15">
        <v>0</v>
      </c>
      <c r="AH197" s="38">
        <v>6791.93</v>
      </c>
      <c r="AI197" s="15">
        <v>0</v>
      </c>
      <c r="AJ197" s="16"/>
      <c r="AK197" s="15">
        <f t="shared" si="25"/>
        <v>226605729.13999999</v>
      </c>
      <c r="AL197" s="17">
        <f t="shared" si="26"/>
        <v>170237947.02000001</v>
      </c>
      <c r="AM197" s="22">
        <v>-423633.57</v>
      </c>
      <c r="AN197" s="34"/>
      <c r="AO197" s="15">
        <f t="shared" si="27"/>
        <v>473900896.52000004</v>
      </c>
      <c r="AP197" s="15">
        <f t="shared" si="28"/>
        <v>474324530.09000003</v>
      </c>
      <c r="AQ197" s="15">
        <f t="shared" si="29"/>
        <v>396843676.15999997</v>
      </c>
      <c r="AR197" s="20"/>
    </row>
  </sheetData>
  <sheetProtection algorithmName="SHA-512" hashValue="gaVIPImTzxXqXS6Nac8VLZ1Mrmt8yjuSRLAZp15+ObeRyL2WSH3a1Bg1JytkobZC5VsPoRcl2UYiCYftZI9K3A==" saltValue="ip9/iToNi3dmf5Wr6blkZw==" spinCount="100000" sheet="1" objects="1" scenarios="1"/>
  <mergeCells count="2">
    <mergeCell ref="B2:F2"/>
    <mergeCell ref="B3:F3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18" orientation="landscape" r:id="rId1"/>
  <ignoredErrors>
    <ignoredError sqref="G183:G18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x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Krystel Ortega Marin</dc:creator>
  <cp:lastModifiedBy>Maria Magdalena Moguel Tort</cp:lastModifiedBy>
  <cp:lastPrinted>2024-04-03T22:27:53Z</cp:lastPrinted>
  <dcterms:created xsi:type="dcterms:W3CDTF">2024-04-02T19:41:17Z</dcterms:created>
  <dcterms:modified xsi:type="dcterms:W3CDTF">2024-04-03T22:28:32Z</dcterms:modified>
</cp:coreProperties>
</file>