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F) FINANZAS PÚBLICAS\"/>
    </mc:Choice>
  </mc:AlternateContent>
  <xr:revisionPtr revIDLastSave="0" documentId="13_ncr:1_{97282B23-0802-45FF-903D-4DF1B65F5A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gresos x mes" sheetId="1" r:id="rId1"/>
  </sheets>
  <definedNames>
    <definedName name="_xlnm.Print_Area" localSheetId="0">'Ingresos x mes'!$A$1:$AN$166</definedName>
    <definedName name="_xlnm.Print_Titles" localSheetId="0">'Ingresos x mes'!$1:$3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66" i="1" l="1"/>
  <c r="AB166" i="1"/>
  <c r="W166" i="1"/>
  <c r="K166" i="1"/>
  <c r="AJ166" i="1" s="1"/>
  <c r="G166" i="1"/>
  <c r="AF165" i="1"/>
  <c r="AB165" i="1"/>
  <c r="W165" i="1"/>
  <c r="AK165" i="1" s="1"/>
  <c r="AN165" i="1" s="1"/>
  <c r="F165" i="1"/>
  <c r="G165" i="1" s="1"/>
  <c r="K165" i="1" s="1"/>
  <c r="AJ165" i="1" s="1"/>
  <c r="AF164" i="1"/>
  <c r="AB164" i="1"/>
  <c r="W164" i="1"/>
  <c r="F164" i="1"/>
  <c r="C164" i="1"/>
  <c r="AE163" i="1"/>
  <c r="AF163" i="1" s="1"/>
  <c r="AB163" i="1"/>
  <c r="W163" i="1"/>
  <c r="F163" i="1"/>
  <c r="G163" i="1" s="1"/>
  <c r="K163" i="1" s="1"/>
  <c r="AJ163" i="1" s="1"/>
  <c r="AF162" i="1"/>
  <c r="AB162" i="1"/>
  <c r="W162" i="1"/>
  <c r="F162" i="1"/>
  <c r="G162" i="1" s="1"/>
  <c r="K162" i="1" s="1"/>
  <c r="AJ162" i="1" s="1"/>
  <c r="AF161" i="1"/>
  <c r="AB161" i="1"/>
  <c r="W161" i="1"/>
  <c r="F161" i="1"/>
  <c r="G161" i="1" s="1"/>
  <c r="K161" i="1" s="1"/>
  <c r="AJ161" i="1" s="1"/>
  <c r="AF160" i="1"/>
  <c r="AB160" i="1"/>
  <c r="W160" i="1"/>
  <c r="F160" i="1"/>
  <c r="AF159" i="1"/>
  <c r="AB159" i="1"/>
  <c r="W159" i="1"/>
  <c r="J159" i="1"/>
  <c r="F159" i="1"/>
  <c r="G159" i="1" s="1"/>
  <c r="AF158" i="1"/>
  <c r="AB158" i="1"/>
  <c r="W158" i="1"/>
  <c r="G158" i="1"/>
  <c r="K158" i="1" s="1"/>
  <c r="AJ158" i="1" s="1"/>
  <c r="AF157" i="1"/>
  <c r="AB157" i="1"/>
  <c r="W157" i="1"/>
  <c r="AK157" i="1" s="1"/>
  <c r="G157" i="1"/>
  <c r="K157" i="1" s="1"/>
  <c r="AJ157" i="1" s="1"/>
  <c r="AF156" i="1"/>
  <c r="AB156" i="1"/>
  <c r="W156" i="1"/>
  <c r="G156" i="1"/>
  <c r="K156" i="1" s="1"/>
  <c r="AJ156" i="1" s="1"/>
  <c r="AF155" i="1"/>
  <c r="AB155" i="1"/>
  <c r="W155" i="1"/>
  <c r="G155" i="1"/>
  <c r="K155" i="1" s="1"/>
  <c r="AJ155" i="1" s="1"/>
  <c r="AF154" i="1"/>
  <c r="AB154" i="1"/>
  <c r="W154" i="1"/>
  <c r="AK154" i="1" s="1"/>
  <c r="G154" i="1"/>
  <c r="K154" i="1" s="1"/>
  <c r="AJ154" i="1" s="1"/>
  <c r="AF153" i="1"/>
  <c r="AB153" i="1"/>
  <c r="W153" i="1"/>
  <c r="G153" i="1"/>
  <c r="K153" i="1" s="1"/>
  <c r="AJ153" i="1" s="1"/>
  <c r="AF152" i="1"/>
  <c r="AB152" i="1"/>
  <c r="W152" i="1"/>
  <c r="G152" i="1"/>
  <c r="K152" i="1" s="1"/>
  <c r="AJ152" i="1" s="1"/>
  <c r="AE151" i="1"/>
  <c r="AF151" i="1" s="1"/>
  <c r="AB151" i="1"/>
  <c r="W151" i="1"/>
  <c r="G151" i="1"/>
  <c r="K151" i="1" s="1"/>
  <c r="AJ151" i="1" s="1"/>
  <c r="AD150" i="1"/>
  <c r="AC150" i="1"/>
  <c r="AF150" i="1" s="1"/>
  <c r="AB150" i="1"/>
  <c r="W150" i="1"/>
  <c r="G150" i="1"/>
  <c r="K150" i="1" s="1"/>
  <c r="AJ150" i="1" s="1"/>
  <c r="AD149" i="1"/>
  <c r="AC149" i="1"/>
  <c r="AB149" i="1"/>
  <c r="W149" i="1"/>
  <c r="G149" i="1"/>
  <c r="K149" i="1" s="1"/>
  <c r="AJ149" i="1" s="1"/>
  <c r="AD148" i="1"/>
  <c r="AC148" i="1"/>
  <c r="AB148" i="1"/>
  <c r="W148" i="1"/>
  <c r="K148" i="1"/>
  <c r="AJ148" i="1" s="1"/>
  <c r="G148" i="1"/>
  <c r="AF147" i="1"/>
  <c r="AB147" i="1"/>
  <c r="W147" i="1"/>
  <c r="G147" i="1"/>
  <c r="K147" i="1" s="1"/>
  <c r="AJ147" i="1" s="1"/>
  <c r="AF146" i="1"/>
  <c r="AB146" i="1"/>
  <c r="W146" i="1"/>
  <c r="AK146" i="1" s="1"/>
  <c r="G146" i="1"/>
  <c r="K146" i="1" s="1"/>
  <c r="AJ146" i="1" s="1"/>
  <c r="AF145" i="1"/>
  <c r="AB145" i="1"/>
  <c r="W145" i="1"/>
  <c r="AK145" i="1" s="1"/>
  <c r="G145" i="1"/>
  <c r="K145" i="1" s="1"/>
  <c r="AJ145" i="1" s="1"/>
  <c r="AF144" i="1"/>
  <c r="AB144" i="1"/>
  <c r="W144" i="1"/>
  <c r="AK144" i="1" s="1"/>
  <c r="G144" i="1"/>
  <c r="K144" i="1" s="1"/>
  <c r="AJ144" i="1" s="1"/>
  <c r="AF143" i="1"/>
  <c r="AB143" i="1"/>
  <c r="W143" i="1"/>
  <c r="G143" i="1"/>
  <c r="K143" i="1" s="1"/>
  <c r="AJ143" i="1" s="1"/>
  <c r="AF142" i="1"/>
  <c r="AB142" i="1"/>
  <c r="W142" i="1"/>
  <c r="G142" i="1"/>
  <c r="K142" i="1" s="1"/>
  <c r="AJ142" i="1" s="1"/>
  <c r="AF141" i="1"/>
  <c r="AB141" i="1"/>
  <c r="W141" i="1"/>
  <c r="AK141" i="1" s="1"/>
  <c r="G141" i="1"/>
  <c r="K141" i="1" s="1"/>
  <c r="AJ141" i="1" s="1"/>
  <c r="AF140" i="1"/>
  <c r="AB140" i="1"/>
  <c r="W140" i="1"/>
  <c r="G140" i="1"/>
  <c r="K140" i="1" s="1"/>
  <c r="AJ140" i="1" s="1"/>
  <c r="AF139" i="1"/>
  <c r="AB139" i="1"/>
  <c r="W139" i="1"/>
  <c r="G139" i="1"/>
  <c r="K139" i="1" s="1"/>
  <c r="AJ139" i="1" s="1"/>
  <c r="AF138" i="1"/>
  <c r="AB138" i="1"/>
  <c r="W138" i="1"/>
  <c r="G138" i="1"/>
  <c r="K138" i="1" s="1"/>
  <c r="AJ138" i="1" s="1"/>
  <c r="AF137" i="1"/>
  <c r="AB137" i="1"/>
  <c r="W137" i="1"/>
  <c r="G137" i="1"/>
  <c r="K137" i="1" s="1"/>
  <c r="AJ137" i="1" s="1"/>
  <c r="AF136" i="1"/>
  <c r="AB136" i="1"/>
  <c r="W136" i="1"/>
  <c r="G136" i="1"/>
  <c r="K136" i="1" s="1"/>
  <c r="AJ136" i="1" s="1"/>
  <c r="AH135" i="1"/>
  <c r="AF135" i="1"/>
  <c r="AB135" i="1"/>
  <c r="W135" i="1"/>
  <c r="G135" i="1"/>
  <c r="K135" i="1" s="1"/>
  <c r="AJ135" i="1" s="1"/>
  <c r="AF134" i="1"/>
  <c r="AB134" i="1"/>
  <c r="W134" i="1"/>
  <c r="G134" i="1"/>
  <c r="K134" i="1" s="1"/>
  <c r="AJ134" i="1" s="1"/>
  <c r="AF133" i="1"/>
  <c r="AB133" i="1"/>
  <c r="W133" i="1"/>
  <c r="G133" i="1"/>
  <c r="K133" i="1" s="1"/>
  <c r="AJ133" i="1" s="1"/>
  <c r="AF132" i="1"/>
  <c r="AB132" i="1"/>
  <c r="W132" i="1"/>
  <c r="G132" i="1"/>
  <c r="K132" i="1" s="1"/>
  <c r="AJ132" i="1" s="1"/>
  <c r="AF131" i="1"/>
  <c r="AB131" i="1"/>
  <c r="W131" i="1"/>
  <c r="G131" i="1"/>
  <c r="K131" i="1" s="1"/>
  <c r="AJ131" i="1" s="1"/>
  <c r="AF130" i="1"/>
  <c r="AB130" i="1"/>
  <c r="W130" i="1"/>
  <c r="G130" i="1"/>
  <c r="K130" i="1" s="1"/>
  <c r="AJ130" i="1" s="1"/>
  <c r="AF129" i="1"/>
  <c r="AB129" i="1"/>
  <c r="W129" i="1"/>
  <c r="G129" i="1"/>
  <c r="K129" i="1" s="1"/>
  <c r="AJ129" i="1" s="1"/>
  <c r="AF128" i="1"/>
  <c r="AB128" i="1"/>
  <c r="W128" i="1"/>
  <c r="G128" i="1"/>
  <c r="K128" i="1" s="1"/>
  <c r="AJ128" i="1" s="1"/>
  <c r="AH127" i="1"/>
  <c r="AF127" i="1"/>
  <c r="AB127" i="1"/>
  <c r="W127" i="1"/>
  <c r="G127" i="1"/>
  <c r="K127" i="1" s="1"/>
  <c r="AJ127" i="1" s="1"/>
  <c r="AF126" i="1"/>
  <c r="AB126" i="1"/>
  <c r="W126" i="1"/>
  <c r="G126" i="1"/>
  <c r="K126" i="1" s="1"/>
  <c r="AJ126" i="1" s="1"/>
  <c r="AH125" i="1"/>
  <c r="AF125" i="1"/>
  <c r="AB125" i="1"/>
  <c r="W125" i="1"/>
  <c r="G125" i="1"/>
  <c r="K125" i="1" s="1"/>
  <c r="AJ125" i="1" s="1"/>
  <c r="AF124" i="1"/>
  <c r="AB124" i="1"/>
  <c r="W124" i="1"/>
  <c r="K124" i="1"/>
  <c r="AJ124" i="1" s="1"/>
  <c r="G124" i="1"/>
  <c r="AE123" i="1"/>
  <c r="AF123" i="1" s="1"/>
  <c r="AB123" i="1"/>
  <c r="W123" i="1"/>
  <c r="G123" i="1"/>
  <c r="K123" i="1" s="1"/>
  <c r="AJ123" i="1" s="1"/>
  <c r="AF122" i="1"/>
  <c r="AB122" i="1"/>
  <c r="W122" i="1"/>
  <c r="G122" i="1"/>
  <c r="K122" i="1" s="1"/>
  <c r="AJ122" i="1" s="1"/>
  <c r="AF121" i="1"/>
  <c r="AB121" i="1"/>
  <c r="W121" i="1"/>
  <c r="G121" i="1"/>
  <c r="K121" i="1" s="1"/>
  <c r="AJ121" i="1" s="1"/>
  <c r="AF120" i="1"/>
  <c r="AB120" i="1"/>
  <c r="W120" i="1"/>
  <c r="AK120" i="1" s="1"/>
  <c r="G120" i="1"/>
  <c r="K120" i="1" s="1"/>
  <c r="AJ120" i="1" s="1"/>
  <c r="AF119" i="1"/>
  <c r="AB119" i="1"/>
  <c r="W119" i="1"/>
  <c r="AK119" i="1" s="1"/>
  <c r="G119" i="1"/>
  <c r="K119" i="1" s="1"/>
  <c r="AJ119" i="1" s="1"/>
  <c r="AF118" i="1"/>
  <c r="AB118" i="1"/>
  <c r="W118" i="1"/>
  <c r="G118" i="1"/>
  <c r="K118" i="1" s="1"/>
  <c r="AJ118" i="1" s="1"/>
  <c r="AH117" i="1"/>
  <c r="AF117" i="1"/>
  <c r="AB117" i="1"/>
  <c r="W117" i="1"/>
  <c r="G117" i="1"/>
  <c r="K117" i="1" s="1"/>
  <c r="AJ117" i="1" s="1"/>
  <c r="AF116" i="1"/>
  <c r="AB116" i="1"/>
  <c r="AK116" i="1" s="1"/>
  <c r="AN116" i="1" s="1"/>
  <c r="W116" i="1"/>
  <c r="G116" i="1"/>
  <c r="K116" i="1" s="1"/>
  <c r="AJ116" i="1" s="1"/>
  <c r="AF115" i="1"/>
  <c r="AB115" i="1"/>
  <c r="W115" i="1"/>
  <c r="G115" i="1"/>
  <c r="K115" i="1" s="1"/>
  <c r="AJ115" i="1" s="1"/>
  <c r="AF114" i="1"/>
  <c r="AB114" i="1"/>
  <c r="AK114" i="1" s="1"/>
  <c r="W114" i="1"/>
  <c r="G114" i="1"/>
  <c r="K114" i="1" s="1"/>
  <c r="AJ114" i="1" s="1"/>
  <c r="AF113" i="1"/>
  <c r="AB113" i="1"/>
  <c r="W113" i="1"/>
  <c r="G113" i="1"/>
  <c r="K113" i="1" s="1"/>
  <c r="AJ113" i="1" s="1"/>
  <c r="AF112" i="1"/>
  <c r="AB112" i="1"/>
  <c r="AK112" i="1" s="1"/>
  <c r="W112" i="1"/>
  <c r="G112" i="1"/>
  <c r="K112" i="1" s="1"/>
  <c r="AJ112" i="1" s="1"/>
  <c r="AE111" i="1"/>
  <c r="AF111" i="1" s="1"/>
  <c r="AB111" i="1"/>
  <c r="W111" i="1"/>
  <c r="AK111" i="1" s="1"/>
  <c r="G111" i="1"/>
  <c r="K111" i="1" s="1"/>
  <c r="AJ111" i="1" s="1"/>
  <c r="AF110" i="1"/>
  <c r="AB110" i="1"/>
  <c r="W110" i="1"/>
  <c r="G110" i="1"/>
  <c r="K110" i="1" s="1"/>
  <c r="AJ110" i="1" s="1"/>
  <c r="AF109" i="1"/>
  <c r="AB109" i="1"/>
  <c r="W109" i="1"/>
  <c r="G109" i="1"/>
  <c r="K109" i="1" s="1"/>
  <c r="AJ109" i="1" s="1"/>
  <c r="AH108" i="1"/>
  <c r="AF108" i="1"/>
  <c r="AB108" i="1"/>
  <c r="W108" i="1"/>
  <c r="G108" i="1"/>
  <c r="K108" i="1" s="1"/>
  <c r="AJ108" i="1" s="1"/>
  <c r="AF107" i="1"/>
  <c r="AB107" i="1"/>
  <c r="W107" i="1"/>
  <c r="G107" i="1"/>
  <c r="K107" i="1" s="1"/>
  <c r="AJ107" i="1" s="1"/>
  <c r="AF106" i="1"/>
  <c r="AB106" i="1"/>
  <c r="W106" i="1"/>
  <c r="G106" i="1"/>
  <c r="K106" i="1" s="1"/>
  <c r="AJ106" i="1" s="1"/>
  <c r="AF105" i="1"/>
  <c r="AB105" i="1"/>
  <c r="W105" i="1"/>
  <c r="G105" i="1"/>
  <c r="K105" i="1" s="1"/>
  <c r="AJ105" i="1" s="1"/>
  <c r="AF104" i="1"/>
  <c r="AB104" i="1"/>
  <c r="AK104" i="1" s="1"/>
  <c r="W104" i="1"/>
  <c r="G104" i="1"/>
  <c r="K104" i="1" s="1"/>
  <c r="AJ104" i="1" s="1"/>
  <c r="AF103" i="1"/>
  <c r="AB103" i="1"/>
  <c r="W103" i="1"/>
  <c r="G103" i="1"/>
  <c r="K103" i="1" s="1"/>
  <c r="AJ103" i="1" s="1"/>
  <c r="AF102" i="1"/>
  <c r="AB102" i="1"/>
  <c r="W102" i="1"/>
  <c r="G102" i="1"/>
  <c r="K102" i="1" s="1"/>
  <c r="AJ102" i="1" s="1"/>
  <c r="AF101" i="1"/>
  <c r="AB101" i="1"/>
  <c r="W101" i="1"/>
  <c r="G101" i="1"/>
  <c r="K101" i="1" s="1"/>
  <c r="AJ101" i="1" s="1"/>
  <c r="AF100" i="1"/>
  <c r="AB100" i="1"/>
  <c r="W100" i="1"/>
  <c r="G100" i="1"/>
  <c r="K100" i="1" s="1"/>
  <c r="AJ100" i="1" s="1"/>
  <c r="AF99" i="1"/>
  <c r="AB99" i="1"/>
  <c r="AK99" i="1" s="1"/>
  <c r="W99" i="1"/>
  <c r="G99" i="1"/>
  <c r="K99" i="1" s="1"/>
  <c r="AJ99" i="1" s="1"/>
  <c r="AF98" i="1"/>
  <c r="AB98" i="1"/>
  <c r="W98" i="1"/>
  <c r="G98" i="1"/>
  <c r="K98" i="1" s="1"/>
  <c r="AJ98" i="1" s="1"/>
  <c r="AF97" i="1"/>
  <c r="AB97" i="1"/>
  <c r="W97" i="1"/>
  <c r="G97" i="1"/>
  <c r="K97" i="1" s="1"/>
  <c r="AJ97" i="1" s="1"/>
  <c r="AH96" i="1"/>
  <c r="AF96" i="1"/>
  <c r="AB96" i="1"/>
  <c r="W96" i="1"/>
  <c r="AK96" i="1" s="1"/>
  <c r="G96" i="1"/>
  <c r="K96" i="1" s="1"/>
  <c r="AJ96" i="1" s="1"/>
  <c r="AH95" i="1"/>
  <c r="AF95" i="1"/>
  <c r="AB95" i="1"/>
  <c r="W95" i="1"/>
  <c r="G95" i="1"/>
  <c r="K95" i="1" s="1"/>
  <c r="AJ95" i="1" s="1"/>
  <c r="AF94" i="1"/>
  <c r="AB94" i="1"/>
  <c r="W94" i="1"/>
  <c r="G94" i="1"/>
  <c r="K94" i="1" s="1"/>
  <c r="AJ94" i="1" s="1"/>
  <c r="AF93" i="1"/>
  <c r="AB93" i="1"/>
  <c r="W93" i="1"/>
  <c r="AK93" i="1" s="1"/>
  <c r="G93" i="1"/>
  <c r="K93" i="1" s="1"/>
  <c r="AJ93" i="1" s="1"/>
  <c r="AF92" i="1"/>
  <c r="AB92" i="1"/>
  <c r="W92" i="1"/>
  <c r="G92" i="1"/>
  <c r="K92" i="1" s="1"/>
  <c r="AJ92" i="1" s="1"/>
  <c r="AF91" i="1"/>
  <c r="AB91" i="1"/>
  <c r="W91" i="1"/>
  <c r="G91" i="1"/>
  <c r="K91" i="1" s="1"/>
  <c r="AJ91" i="1" s="1"/>
  <c r="AJ90" i="1"/>
  <c r="AF90" i="1"/>
  <c r="AB90" i="1"/>
  <c r="W90" i="1"/>
  <c r="G90" i="1"/>
  <c r="K90" i="1" s="1"/>
  <c r="AF89" i="1"/>
  <c r="AB89" i="1"/>
  <c r="W89" i="1"/>
  <c r="G89" i="1"/>
  <c r="K89" i="1" s="1"/>
  <c r="AJ89" i="1" s="1"/>
  <c r="AF88" i="1"/>
  <c r="AB88" i="1"/>
  <c r="W88" i="1"/>
  <c r="G88" i="1"/>
  <c r="K88" i="1" s="1"/>
  <c r="AJ88" i="1" s="1"/>
  <c r="AF87" i="1"/>
  <c r="AB87" i="1"/>
  <c r="W87" i="1"/>
  <c r="G87" i="1"/>
  <c r="K87" i="1" s="1"/>
  <c r="AJ87" i="1" s="1"/>
  <c r="AF86" i="1"/>
  <c r="AB86" i="1"/>
  <c r="W86" i="1"/>
  <c r="G86" i="1"/>
  <c r="K86" i="1" s="1"/>
  <c r="AJ86" i="1" s="1"/>
  <c r="AF85" i="1"/>
  <c r="AB85" i="1"/>
  <c r="W85" i="1"/>
  <c r="AK85" i="1" s="1"/>
  <c r="G85" i="1"/>
  <c r="K85" i="1" s="1"/>
  <c r="AJ85" i="1" s="1"/>
  <c r="AF84" i="1"/>
  <c r="AB84" i="1"/>
  <c r="W84" i="1"/>
  <c r="G84" i="1"/>
  <c r="K84" i="1" s="1"/>
  <c r="AJ84" i="1" s="1"/>
  <c r="AE83" i="1"/>
  <c r="AF83" i="1" s="1"/>
  <c r="AB83" i="1"/>
  <c r="W83" i="1"/>
  <c r="G83" i="1"/>
  <c r="K83" i="1" s="1"/>
  <c r="AJ83" i="1" s="1"/>
  <c r="AF82" i="1"/>
  <c r="AB82" i="1"/>
  <c r="W82" i="1"/>
  <c r="AK82" i="1" s="1"/>
  <c r="G82" i="1"/>
  <c r="K82" i="1" s="1"/>
  <c r="AJ82" i="1" s="1"/>
  <c r="AF81" i="1"/>
  <c r="AB81" i="1"/>
  <c r="W81" i="1"/>
  <c r="AK81" i="1" s="1"/>
  <c r="G81" i="1"/>
  <c r="K81" i="1" s="1"/>
  <c r="AJ81" i="1" s="1"/>
  <c r="AF80" i="1"/>
  <c r="AB80" i="1"/>
  <c r="W80" i="1"/>
  <c r="G80" i="1"/>
  <c r="K80" i="1" s="1"/>
  <c r="AJ80" i="1" s="1"/>
  <c r="AF79" i="1"/>
  <c r="AB79" i="1"/>
  <c r="W79" i="1"/>
  <c r="G79" i="1"/>
  <c r="K79" i="1" s="1"/>
  <c r="AJ79" i="1" s="1"/>
  <c r="AF78" i="1"/>
  <c r="AB78" i="1"/>
  <c r="W78" i="1"/>
  <c r="G78" i="1"/>
  <c r="K78" i="1" s="1"/>
  <c r="AJ78" i="1" s="1"/>
  <c r="AF77" i="1"/>
  <c r="AB77" i="1"/>
  <c r="W77" i="1"/>
  <c r="G77" i="1"/>
  <c r="K77" i="1" s="1"/>
  <c r="AJ77" i="1" s="1"/>
  <c r="AF76" i="1"/>
  <c r="AB76" i="1"/>
  <c r="W76" i="1"/>
  <c r="G76" i="1"/>
  <c r="K76" i="1" s="1"/>
  <c r="AJ76" i="1" s="1"/>
  <c r="AF75" i="1"/>
  <c r="AB75" i="1"/>
  <c r="W75" i="1"/>
  <c r="G75" i="1"/>
  <c r="K75" i="1" s="1"/>
  <c r="AJ75" i="1" s="1"/>
  <c r="AF74" i="1"/>
  <c r="AB74" i="1"/>
  <c r="W74" i="1"/>
  <c r="G74" i="1"/>
  <c r="K74" i="1" s="1"/>
  <c r="AJ74" i="1" s="1"/>
  <c r="AF73" i="1"/>
  <c r="AB73" i="1"/>
  <c r="W73" i="1"/>
  <c r="G73" i="1"/>
  <c r="K73" i="1" s="1"/>
  <c r="AJ73" i="1" s="1"/>
  <c r="AF72" i="1"/>
  <c r="AB72" i="1"/>
  <c r="W72" i="1"/>
  <c r="G72" i="1"/>
  <c r="K72" i="1" s="1"/>
  <c r="AJ72" i="1" s="1"/>
  <c r="AF71" i="1"/>
  <c r="AB71" i="1"/>
  <c r="W71" i="1"/>
  <c r="G71" i="1"/>
  <c r="K71" i="1" s="1"/>
  <c r="AJ71" i="1" s="1"/>
  <c r="AF70" i="1"/>
  <c r="AB70" i="1"/>
  <c r="W70" i="1"/>
  <c r="G70" i="1"/>
  <c r="K70" i="1" s="1"/>
  <c r="AJ70" i="1" s="1"/>
  <c r="AF69" i="1"/>
  <c r="AB69" i="1"/>
  <c r="W69" i="1"/>
  <c r="G69" i="1"/>
  <c r="K69" i="1" s="1"/>
  <c r="AJ69" i="1" s="1"/>
  <c r="AF68" i="1"/>
  <c r="AB68" i="1"/>
  <c r="W68" i="1"/>
  <c r="G68" i="1"/>
  <c r="K68" i="1" s="1"/>
  <c r="AJ68" i="1" s="1"/>
  <c r="AF67" i="1"/>
  <c r="AB67" i="1"/>
  <c r="W67" i="1"/>
  <c r="G67" i="1"/>
  <c r="K67" i="1" s="1"/>
  <c r="AJ67" i="1" s="1"/>
  <c r="AF66" i="1"/>
  <c r="AB66" i="1"/>
  <c r="W66" i="1"/>
  <c r="G66" i="1"/>
  <c r="K66" i="1" s="1"/>
  <c r="AJ66" i="1" s="1"/>
  <c r="AF65" i="1"/>
  <c r="AB65" i="1"/>
  <c r="W65" i="1"/>
  <c r="G65" i="1"/>
  <c r="K65" i="1" s="1"/>
  <c r="AJ65" i="1" s="1"/>
  <c r="AF64" i="1"/>
  <c r="AB64" i="1"/>
  <c r="W64" i="1"/>
  <c r="G64" i="1"/>
  <c r="K64" i="1" s="1"/>
  <c r="AJ64" i="1" s="1"/>
  <c r="AF63" i="1"/>
  <c r="AB63" i="1"/>
  <c r="W63" i="1"/>
  <c r="K63" i="1"/>
  <c r="AJ63" i="1" s="1"/>
  <c r="G63" i="1"/>
  <c r="AE62" i="1"/>
  <c r="AF62" i="1" s="1"/>
  <c r="AB62" i="1"/>
  <c r="W62" i="1"/>
  <c r="AK62" i="1" s="1"/>
  <c r="G62" i="1"/>
  <c r="K62" i="1" s="1"/>
  <c r="AJ62" i="1" s="1"/>
  <c r="AF61" i="1"/>
  <c r="AB61" i="1"/>
  <c r="W61" i="1"/>
  <c r="G61" i="1"/>
  <c r="K61" i="1" s="1"/>
  <c r="AJ61" i="1" s="1"/>
  <c r="AF60" i="1"/>
  <c r="AB60" i="1"/>
  <c r="W60" i="1"/>
  <c r="G60" i="1"/>
  <c r="K60" i="1" s="1"/>
  <c r="AJ60" i="1" s="1"/>
  <c r="AF59" i="1"/>
  <c r="AB59" i="1"/>
  <c r="W59" i="1"/>
  <c r="G59" i="1"/>
  <c r="K59" i="1" s="1"/>
  <c r="AJ59" i="1" s="1"/>
  <c r="AF58" i="1"/>
  <c r="AB58" i="1"/>
  <c r="W58" i="1"/>
  <c r="AK58" i="1" s="1"/>
  <c r="G58" i="1"/>
  <c r="K58" i="1" s="1"/>
  <c r="AJ58" i="1" s="1"/>
  <c r="AE57" i="1"/>
  <c r="AF57" i="1" s="1"/>
  <c r="AB57" i="1"/>
  <c r="W57" i="1"/>
  <c r="AK57" i="1" s="1"/>
  <c r="G57" i="1"/>
  <c r="K57" i="1" s="1"/>
  <c r="AJ57" i="1" s="1"/>
  <c r="AF56" i="1"/>
  <c r="AB56" i="1"/>
  <c r="W56" i="1"/>
  <c r="AK56" i="1" s="1"/>
  <c r="G56" i="1"/>
  <c r="K56" i="1" s="1"/>
  <c r="AJ56" i="1" s="1"/>
  <c r="AF55" i="1"/>
  <c r="AB55" i="1"/>
  <c r="W55" i="1"/>
  <c r="AK55" i="1" s="1"/>
  <c r="G55" i="1"/>
  <c r="K55" i="1" s="1"/>
  <c r="AJ55" i="1" s="1"/>
  <c r="AH54" i="1"/>
  <c r="AF54" i="1"/>
  <c r="AB54" i="1"/>
  <c r="W54" i="1"/>
  <c r="G54" i="1"/>
  <c r="K54" i="1" s="1"/>
  <c r="AJ54" i="1" s="1"/>
  <c r="AH53" i="1"/>
  <c r="AF53" i="1"/>
  <c r="AB53" i="1"/>
  <c r="W53" i="1"/>
  <c r="G53" i="1"/>
  <c r="K53" i="1" s="1"/>
  <c r="AJ53" i="1" s="1"/>
  <c r="AF52" i="1"/>
  <c r="AB52" i="1"/>
  <c r="W52" i="1"/>
  <c r="AK52" i="1" s="1"/>
  <c r="G52" i="1"/>
  <c r="K52" i="1" s="1"/>
  <c r="AJ52" i="1" s="1"/>
  <c r="AH51" i="1"/>
  <c r="AE51" i="1"/>
  <c r="AF51" i="1" s="1"/>
  <c r="AB51" i="1"/>
  <c r="W51" i="1"/>
  <c r="G51" i="1"/>
  <c r="K51" i="1" s="1"/>
  <c r="AJ51" i="1" s="1"/>
  <c r="AF50" i="1"/>
  <c r="AB50" i="1"/>
  <c r="W50" i="1"/>
  <c r="G50" i="1"/>
  <c r="K50" i="1" s="1"/>
  <c r="AJ50" i="1" s="1"/>
  <c r="AE49" i="1"/>
  <c r="AF49" i="1" s="1"/>
  <c r="AB49" i="1"/>
  <c r="W49" i="1"/>
  <c r="G49" i="1"/>
  <c r="K49" i="1" s="1"/>
  <c r="AJ49" i="1" s="1"/>
  <c r="AF48" i="1"/>
  <c r="AB48" i="1"/>
  <c r="W48" i="1"/>
  <c r="G48" i="1"/>
  <c r="K48" i="1" s="1"/>
  <c r="AJ48" i="1" s="1"/>
  <c r="AH47" i="1"/>
  <c r="AF47" i="1"/>
  <c r="AB47" i="1"/>
  <c r="W47" i="1"/>
  <c r="G47" i="1"/>
  <c r="K47" i="1" s="1"/>
  <c r="AJ47" i="1" s="1"/>
  <c r="AH46" i="1"/>
  <c r="AF46" i="1"/>
  <c r="AB46" i="1"/>
  <c r="W46" i="1"/>
  <c r="G46" i="1"/>
  <c r="K46" i="1" s="1"/>
  <c r="AJ46" i="1" s="1"/>
  <c r="AE45" i="1"/>
  <c r="AF45" i="1" s="1"/>
  <c r="AB45" i="1"/>
  <c r="W45" i="1"/>
  <c r="G45" i="1"/>
  <c r="K45" i="1" s="1"/>
  <c r="AJ45" i="1" s="1"/>
  <c r="AK44" i="1"/>
  <c r="AF44" i="1"/>
  <c r="AB44" i="1"/>
  <c r="W44" i="1"/>
  <c r="G44" i="1"/>
  <c r="K44" i="1" s="1"/>
  <c r="AJ44" i="1" s="1"/>
  <c r="AF43" i="1"/>
  <c r="AB43" i="1"/>
  <c r="W43" i="1"/>
  <c r="G43" i="1"/>
  <c r="K43" i="1" s="1"/>
  <c r="AJ43" i="1" s="1"/>
  <c r="AF42" i="1"/>
  <c r="AB42" i="1"/>
  <c r="W42" i="1"/>
  <c r="G42" i="1"/>
  <c r="K42" i="1" s="1"/>
  <c r="AJ42" i="1" s="1"/>
  <c r="AF41" i="1"/>
  <c r="AB41" i="1"/>
  <c r="W41" i="1"/>
  <c r="G41" i="1"/>
  <c r="K41" i="1" s="1"/>
  <c r="AJ41" i="1" s="1"/>
  <c r="AF40" i="1"/>
  <c r="AB40" i="1"/>
  <c r="W40" i="1"/>
  <c r="G40" i="1"/>
  <c r="K40" i="1" s="1"/>
  <c r="AJ40" i="1" s="1"/>
  <c r="AH39" i="1"/>
  <c r="AF39" i="1"/>
  <c r="AB39" i="1"/>
  <c r="W39" i="1"/>
  <c r="G39" i="1"/>
  <c r="K39" i="1" s="1"/>
  <c r="AJ39" i="1" s="1"/>
  <c r="AF38" i="1"/>
  <c r="AB38" i="1"/>
  <c r="W38" i="1"/>
  <c r="G38" i="1"/>
  <c r="K38" i="1" s="1"/>
  <c r="AJ38" i="1" s="1"/>
  <c r="AF37" i="1"/>
  <c r="AB37" i="1"/>
  <c r="W37" i="1"/>
  <c r="G37" i="1"/>
  <c r="K37" i="1" s="1"/>
  <c r="AJ37" i="1" s="1"/>
  <c r="AE36" i="1"/>
  <c r="AF36" i="1" s="1"/>
  <c r="AB36" i="1"/>
  <c r="W36" i="1"/>
  <c r="G36" i="1"/>
  <c r="K36" i="1" s="1"/>
  <c r="AJ36" i="1" s="1"/>
  <c r="AE35" i="1"/>
  <c r="AF35" i="1" s="1"/>
  <c r="AB35" i="1"/>
  <c r="W35" i="1"/>
  <c r="G35" i="1"/>
  <c r="K35" i="1" s="1"/>
  <c r="AJ35" i="1" s="1"/>
  <c r="AE34" i="1"/>
  <c r="AF34" i="1" s="1"/>
  <c r="AB34" i="1"/>
  <c r="W34" i="1"/>
  <c r="AK34" i="1" s="1"/>
  <c r="G34" i="1"/>
  <c r="K34" i="1" s="1"/>
  <c r="AJ34" i="1" s="1"/>
  <c r="AF33" i="1"/>
  <c r="AB33" i="1"/>
  <c r="W33" i="1"/>
  <c r="G33" i="1"/>
  <c r="K33" i="1" s="1"/>
  <c r="AJ33" i="1" s="1"/>
  <c r="AF32" i="1"/>
  <c r="AB32" i="1"/>
  <c r="W32" i="1"/>
  <c r="G32" i="1"/>
  <c r="K32" i="1" s="1"/>
  <c r="AJ32" i="1" s="1"/>
  <c r="AF31" i="1"/>
  <c r="AB31" i="1"/>
  <c r="W31" i="1"/>
  <c r="G31" i="1"/>
  <c r="K31" i="1" s="1"/>
  <c r="AJ31" i="1" s="1"/>
  <c r="AE30" i="1"/>
  <c r="AF30" i="1" s="1"/>
  <c r="AB30" i="1"/>
  <c r="W30" i="1"/>
  <c r="G30" i="1"/>
  <c r="K30" i="1" s="1"/>
  <c r="AJ30" i="1" s="1"/>
  <c r="AE29" i="1"/>
  <c r="AF29" i="1" s="1"/>
  <c r="AB29" i="1"/>
  <c r="W29" i="1"/>
  <c r="G29" i="1"/>
  <c r="K29" i="1" s="1"/>
  <c r="AJ29" i="1" s="1"/>
  <c r="AF28" i="1"/>
  <c r="AB28" i="1"/>
  <c r="AK28" i="1" s="1"/>
  <c r="W28" i="1"/>
  <c r="G28" i="1"/>
  <c r="K28" i="1" s="1"/>
  <c r="AJ28" i="1" s="1"/>
  <c r="AE27" i="1"/>
  <c r="AF27" i="1" s="1"/>
  <c r="AB27" i="1"/>
  <c r="W27" i="1"/>
  <c r="G27" i="1"/>
  <c r="K27" i="1" s="1"/>
  <c r="AJ27" i="1" s="1"/>
  <c r="AE26" i="1"/>
  <c r="AF26" i="1" s="1"/>
  <c r="AB26" i="1"/>
  <c r="W26" i="1"/>
  <c r="G26" i="1"/>
  <c r="K26" i="1" s="1"/>
  <c r="AJ26" i="1" s="1"/>
  <c r="AE25" i="1"/>
  <c r="AF25" i="1" s="1"/>
  <c r="AB25" i="1"/>
  <c r="W25" i="1"/>
  <c r="G25" i="1"/>
  <c r="K25" i="1" s="1"/>
  <c r="AJ25" i="1" s="1"/>
  <c r="AE24" i="1"/>
  <c r="AF24" i="1" s="1"/>
  <c r="AB24" i="1"/>
  <c r="W24" i="1"/>
  <c r="G24" i="1"/>
  <c r="K24" i="1" s="1"/>
  <c r="AJ24" i="1" s="1"/>
  <c r="AF23" i="1"/>
  <c r="AB23" i="1"/>
  <c r="W23" i="1"/>
  <c r="G23" i="1"/>
  <c r="K23" i="1" s="1"/>
  <c r="AJ23" i="1" s="1"/>
  <c r="AE22" i="1"/>
  <c r="AF22" i="1" s="1"/>
  <c r="AB22" i="1"/>
  <c r="W22" i="1"/>
  <c r="G22" i="1"/>
  <c r="K22" i="1" s="1"/>
  <c r="AJ22" i="1" s="1"/>
  <c r="AF21" i="1"/>
  <c r="AB21" i="1"/>
  <c r="W21" i="1"/>
  <c r="G21" i="1"/>
  <c r="K21" i="1" s="1"/>
  <c r="AJ21" i="1" s="1"/>
  <c r="AF20" i="1"/>
  <c r="AB20" i="1"/>
  <c r="W20" i="1"/>
  <c r="G20" i="1"/>
  <c r="K20" i="1" s="1"/>
  <c r="AJ20" i="1" s="1"/>
  <c r="AE19" i="1"/>
  <c r="AF19" i="1" s="1"/>
  <c r="AB19" i="1"/>
  <c r="W19" i="1"/>
  <c r="AK19" i="1" s="1"/>
  <c r="G19" i="1"/>
  <c r="K19" i="1" s="1"/>
  <c r="AJ19" i="1" s="1"/>
  <c r="AF18" i="1"/>
  <c r="AB18" i="1"/>
  <c r="W18" i="1"/>
  <c r="G18" i="1"/>
  <c r="K18" i="1" s="1"/>
  <c r="AJ18" i="1" s="1"/>
  <c r="AF17" i="1"/>
  <c r="AB17" i="1"/>
  <c r="W17" i="1"/>
  <c r="G17" i="1"/>
  <c r="K17" i="1" s="1"/>
  <c r="AJ17" i="1" s="1"/>
  <c r="AF16" i="1"/>
  <c r="AB16" i="1"/>
  <c r="W16" i="1"/>
  <c r="G16" i="1"/>
  <c r="K16" i="1" s="1"/>
  <c r="AJ16" i="1" s="1"/>
  <c r="AH15" i="1"/>
  <c r="AF15" i="1"/>
  <c r="AB15" i="1"/>
  <c r="W15" i="1"/>
  <c r="AK15" i="1" s="1"/>
  <c r="G15" i="1"/>
  <c r="K15" i="1" s="1"/>
  <c r="AJ15" i="1" s="1"/>
  <c r="AF14" i="1"/>
  <c r="AB14" i="1"/>
  <c r="W14" i="1"/>
  <c r="G14" i="1"/>
  <c r="K14" i="1" s="1"/>
  <c r="AJ14" i="1" s="1"/>
  <c r="AF13" i="1"/>
  <c r="AB13" i="1"/>
  <c r="W13" i="1"/>
  <c r="G13" i="1"/>
  <c r="K13" i="1" s="1"/>
  <c r="AJ13" i="1" s="1"/>
  <c r="AF12" i="1"/>
  <c r="AB12" i="1"/>
  <c r="W12" i="1"/>
  <c r="G12" i="1"/>
  <c r="K12" i="1" s="1"/>
  <c r="AJ12" i="1" s="1"/>
  <c r="AF11" i="1"/>
  <c r="AB11" i="1"/>
  <c r="W11" i="1"/>
  <c r="G11" i="1"/>
  <c r="K11" i="1" s="1"/>
  <c r="AJ11" i="1" s="1"/>
  <c r="AF10" i="1"/>
  <c r="AB10" i="1"/>
  <c r="W10" i="1"/>
  <c r="G10" i="1"/>
  <c r="K10" i="1" s="1"/>
  <c r="AJ10" i="1" s="1"/>
  <c r="AF9" i="1"/>
  <c r="AB9" i="1"/>
  <c r="W9" i="1"/>
  <c r="G9" i="1"/>
  <c r="K9" i="1" s="1"/>
  <c r="AJ9" i="1" s="1"/>
  <c r="AF8" i="1"/>
  <c r="AB8" i="1"/>
  <c r="W8" i="1"/>
  <c r="G8" i="1"/>
  <c r="K8" i="1" s="1"/>
  <c r="AJ8" i="1" s="1"/>
  <c r="AF7" i="1"/>
  <c r="AB7" i="1"/>
  <c r="W7" i="1"/>
  <c r="G7" i="1"/>
  <c r="K7" i="1" s="1"/>
  <c r="AJ7" i="1" s="1"/>
  <c r="AF6" i="1"/>
  <c r="AB6" i="1"/>
  <c r="W6" i="1"/>
  <c r="G6" i="1"/>
  <c r="K6" i="1" s="1"/>
  <c r="AJ6" i="1" s="1"/>
  <c r="AF5" i="1"/>
  <c r="AB5" i="1"/>
  <c r="W5" i="1"/>
  <c r="G5" i="1"/>
  <c r="K5" i="1" s="1"/>
  <c r="AJ5" i="1" s="1"/>
  <c r="AF4" i="1"/>
  <c r="AB4" i="1"/>
  <c r="W4" i="1"/>
  <c r="G4" i="1"/>
  <c r="K4" i="1" s="1"/>
  <c r="AJ4" i="1" s="1"/>
  <c r="AK126" i="1" l="1"/>
  <c r="AK38" i="1"/>
  <c r="AK49" i="1"/>
  <c r="AN49" i="1" s="1"/>
  <c r="AK53" i="1"/>
  <c r="AK66" i="1"/>
  <c r="AN66" i="1" s="1"/>
  <c r="AK68" i="1"/>
  <c r="AN68" i="1" s="1"/>
  <c r="AK83" i="1"/>
  <c r="AK25" i="1"/>
  <c r="AK29" i="1"/>
  <c r="AK33" i="1"/>
  <c r="AK46" i="1"/>
  <c r="AK80" i="1"/>
  <c r="AN80" i="1" s="1"/>
  <c r="AK125" i="1"/>
  <c r="AN125" i="1" s="1"/>
  <c r="AK149" i="1"/>
  <c r="AK160" i="1"/>
  <c r="AK43" i="1"/>
  <c r="AK65" i="1"/>
  <c r="AN65" i="1" s="1"/>
  <c r="AK69" i="1"/>
  <c r="AK97" i="1"/>
  <c r="AK153" i="1"/>
  <c r="K159" i="1"/>
  <c r="AJ159" i="1" s="1"/>
  <c r="AK77" i="1"/>
  <c r="AN77" i="1" s="1"/>
  <c r="AK118" i="1"/>
  <c r="AK163" i="1"/>
  <c r="AN163" i="1" s="1"/>
  <c r="AN158" i="1"/>
  <c r="AK31" i="1"/>
  <c r="AK117" i="1"/>
  <c r="AN117" i="1" s="1"/>
  <c r="AN7" i="1"/>
  <c r="AK16" i="1"/>
  <c r="AN16" i="1" s="1"/>
  <c r="AK95" i="1"/>
  <c r="AN95" i="1" s="1"/>
  <c r="AK103" i="1"/>
  <c r="AN103" i="1" s="1"/>
  <c r="AK5" i="1"/>
  <c r="AN5" i="1" s="1"/>
  <c r="AK7" i="1"/>
  <c r="AK9" i="1"/>
  <c r="AN9" i="1" s="1"/>
  <c r="AN13" i="1"/>
  <c r="AN23" i="1"/>
  <c r="AK37" i="1"/>
  <c r="AK59" i="1"/>
  <c r="AN59" i="1" s="1"/>
  <c r="AK61" i="1"/>
  <c r="AN61" i="1" s="1"/>
  <c r="AK75" i="1"/>
  <c r="AK105" i="1"/>
  <c r="AN105" i="1" s="1"/>
  <c r="AK121" i="1"/>
  <c r="AN121" i="1" s="1"/>
  <c r="AK128" i="1"/>
  <c r="AN128" i="1" s="1"/>
  <c r="AK130" i="1"/>
  <c r="AN130" i="1" s="1"/>
  <c r="AK137" i="1"/>
  <c r="AN137" i="1" s="1"/>
  <c r="AK164" i="1"/>
  <c r="AK11" i="1"/>
  <c r="AN11" i="1" s="1"/>
  <c r="AK13" i="1"/>
  <c r="AK23" i="1"/>
  <c r="AK32" i="1"/>
  <c r="AN32" i="1" s="1"/>
  <c r="AN151" i="1"/>
  <c r="AN43" i="1"/>
  <c r="AN58" i="1"/>
  <c r="AK102" i="1"/>
  <c r="AN102" i="1" s="1"/>
  <c r="AK107" i="1"/>
  <c r="AN145" i="1"/>
  <c r="AK151" i="1"/>
  <c r="AK8" i="1"/>
  <c r="AN8" i="1" s="1"/>
  <c r="AK10" i="1"/>
  <c r="AN10" i="1" s="1"/>
  <c r="AK17" i="1"/>
  <c r="AN17" i="1" s="1"/>
  <c r="AN31" i="1"/>
  <c r="AK36" i="1"/>
  <c r="AN36" i="1" s="1"/>
  <c r="AK60" i="1"/>
  <c r="AK63" i="1"/>
  <c r="AN63" i="1" s="1"/>
  <c r="AK72" i="1"/>
  <c r="AN72" i="1" s="1"/>
  <c r="AK74" i="1"/>
  <c r="AN74" i="1" s="1"/>
  <c r="AK78" i="1"/>
  <c r="AN78" i="1" s="1"/>
  <c r="AK91" i="1"/>
  <c r="AN91" i="1" s="1"/>
  <c r="AK113" i="1"/>
  <c r="AN113" i="1" s="1"/>
  <c r="AK115" i="1"/>
  <c r="AN115" i="1" s="1"/>
  <c r="AK136" i="1"/>
  <c r="AN136" i="1" s="1"/>
  <c r="AF148" i="1"/>
  <c r="AK158" i="1"/>
  <c r="AN25" i="1"/>
  <c r="AN53" i="1"/>
  <c r="AN56" i="1"/>
  <c r="AK79" i="1"/>
  <c r="AN79" i="1" s="1"/>
  <c r="AK22" i="1"/>
  <c r="AN22" i="1" s="1"/>
  <c r="AK45" i="1"/>
  <c r="AN45" i="1" s="1"/>
  <c r="AK48" i="1"/>
  <c r="AN48" i="1" s="1"/>
  <c r="AN135" i="1"/>
  <c r="AN28" i="1"/>
  <c r="AN107" i="1"/>
  <c r="AN112" i="1"/>
  <c r="AK138" i="1"/>
  <c r="AK4" i="1"/>
  <c r="AN4" i="1" s="1"/>
  <c r="AK6" i="1"/>
  <c r="AN6" i="1" s="1"/>
  <c r="AK18" i="1"/>
  <c r="AN18" i="1" s="1"/>
  <c r="AK21" i="1"/>
  <c r="AN21" i="1" s="1"/>
  <c r="AN44" i="1"/>
  <c r="AK50" i="1"/>
  <c r="AN50" i="1" s="1"/>
  <c r="AN52" i="1"/>
  <c r="AK67" i="1"/>
  <c r="AN67" i="1" s="1"/>
  <c r="AN97" i="1"/>
  <c r="AN37" i="1"/>
  <c r="AN39" i="1"/>
  <c r="AN93" i="1"/>
  <c r="AN96" i="1"/>
  <c r="AN111" i="1"/>
  <c r="G164" i="1"/>
  <c r="K164" i="1" s="1"/>
  <c r="AJ164" i="1" s="1"/>
  <c r="AN33" i="1"/>
  <c r="AK12" i="1"/>
  <c r="AN12" i="1" s="1"/>
  <c r="AK14" i="1"/>
  <c r="AN14" i="1" s="1"/>
  <c r="AK24" i="1"/>
  <c r="AN24" i="1" s="1"/>
  <c r="AK27" i="1"/>
  <c r="AN27" i="1" s="1"/>
  <c r="AK30" i="1"/>
  <c r="AN30" i="1" s="1"/>
  <c r="AK39" i="1"/>
  <c r="AK47" i="1"/>
  <c r="AN47" i="1" s="1"/>
  <c r="AN73" i="1"/>
  <c r="AN82" i="1"/>
  <c r="AN83" i="1"/>
  <c r="AN118" i="1"/>
  <c r="AN119" i="1"/>
  <c r="AN146" i="1"/>
  <c r="AN157" i="1"/>
  <c r="AN15" i="1"/>
  <c r="AK20" i="1"/>
  <c r="AN20" i="1" s="1"/>
  <c r="AK26" i="1"/>
  <c r="AN26" i="1" s="1"/>
  <c r="AK41" i="1"/>
  <c r="AN41" i="1" s="1"/>
  <c r="AN46" i="1"/>
  <c r="AK51" i="1"/>
  <c r="AN51" i="1" s="1"/>
  <c r="AK73" i="1"/>
  <c r="AN141" i="1"/>
  <c r="AN154" i="1"/>
  <c r="AK76" i="1"/>
  <c r="AN76" i="1" s="1"/>
  <c r="AK123" i="1"/>
  <c r="AN123" i="1" s="1"/>
  <c r="AN153" i="1"/>
  <c r="AK162" i="1"/>
  <c r="AN162" i="1" s="1"/>
  <c r="AK64" i="1"/>
  <c r="AN64" i="1" s="1"/>
  <c r="AN69" i="1"/>
  <c r="AK70" i="1"/>
  <c r="AN70" i="1" s="1"/>
  <c r="AK100" i="1"/>
  <c r="AN100" i="1" s="1"/>
  <c r="AK110" i="1"/>
  <c r="AN110" i="1" s="1"/>
  <c r="AK122" i="1"/>
  <c r="AN122" i="1" s="1"/>
  <c r="AK143" i="1"/>
  <c r="AN143" i="1" s="1"/>
  <c r="AK147" i="1"/>
  <c r="AN147" i="1" s="1"/>
  <c r="AK155" i="1"/>
  <c r="AN155" i="1" s="1"/>
  <c r="AK159" i="1"/>
  <c r="AK161" i="1"/>
  <c r="AN161" i="1" s="1"/>
  <c r="AK166" i="1"/>
  <c r="AN166" i="1" s="1"/>
  <c r="AK54" i="1"/>
  <c r="AN54" i="1" s="1"/>
  <c r="AK106" i="1"/>
  <c r="AN106" i="1" s="1"/>
  <c r="AN114" i="1"/>
  <c r="AK150" i="1"/>
  <c r="AN150" i="1" s="1"/>
  <c r="AN85" i="1"/>
  <c r="AK109" i="1"/>
  <c r="AN109" i="1" s="1"/>
  <c r="AK135" i="1"/>
  <c r="AK139" i="1"/>
  <c r="AN139" i="1" s="1"/>
  <c r="AK142" i="1"/>
  <c r="AN142" i="1" s="1"/>
  <c r="AK71" i="1"/>
  <c r="AN71" i="1" s="1"/>
  <c r="AN81" i="1"/>
  <c r="AK87" i="1"/>
  <c r="AN87" i="1" s="1"/>
  <c r="AK89" i="1"/>
  <c r="AN89" i="1" s="1"/>
  <c r="AK98" i="1"/>
  <c r="AK101" i="1"/>
  <c r="AN101" i="1" s="1"/>
  <c r="AK108" i="1"/>
  <c r="AN108" i="1" s="1"/>
  <c r="AK124" i="1"/>
  <c r="AN124" i="1" s="1"/>
  <c r="AK132" i="1"/>
  <c r="AN132" i="1" s="1"/>
  <c r="AK156" i="1"/>
  <c r="AN156" i="1" s="1"/>
  <c r="AN29" i="1"/>
  <c r="AN55" i="1"/>
  <c r="AN144" i="1"/>
  <c r="AK35" i="1"/>
  <c r="AN35" i="1" s="1"/>
  <c r="AK40" i="1"/>
  <c r="AN40" i="1" s="1"/>
  <c r="AN57" i="1"/>
  <c r="AN138" i="1"/>
  <c r="AN75" i="1"/>
  <c r="AN19" i="1"/>
  <c r="AN90" i="1"/>
  <c r="AN38" i="1"/>
  <c r="AN34" i="1"/>
  <c r="AK42" i="1"/>
  <c r="AN42" i="1" s="1"/>
  <c r="AN60" i="1"/>
  <c r="AN62" i="1"/>
  <c r="AN99" i="1"/>
  <c r="AN104" i="1"/>
  <c r="G160" i="1"/>
  <c r="AK84" i="1"/>
  <c r="AN84" i="1" s="1"/>
  <c r="AK88" i="1"/>
  <c r="AN88" i="1" s="1"/>
  <c r="AK92" i="1"/>
  <c r="AN92" i="1" s="1"/>
  <c r="AK140" i="1"/>
  <c r="AN140" i="1" s="1"/>
  <c r="AK86" i="1"/>
  <c r="AN86" i="1" s="1"/>
  <c r="AK90" i="1"/>
  <c r="AK94" i="1"/>
  <c r="AN94" i="1" s="1"/>
  <c r="AN98" i="1"/>
  <c r="AN120" i="1"/>
  <c r="AN126" i="1"/>
  <c r="AK134" i="1"/>
  <c r="AN134" i="1" s="1"/>
  <c r="AK152" i="1"/>
  <c r="AN152" i="1" s="1"/>
  <c r="AK129" i="1"/>
  <c r="AN129" i="1" s="1"/>
  <c r="AK133" i="1"/>
  <c r="AN133" i="1" s="1"/>
  <c r="AK148" i="1"/>
  <c r="AK127" i="1"/>
  <c r="AN127" i="1" s="1"/>
  <c r="AF149" i="1"/>
  <c r="AN149" i="1" s="1"/>
  <c r="AK131" i="1"/>
  <c r="AN131" i="1" s="1"/>
  <c r="AN159" i="1" l="1"/>
  <c r="AN164" i="1"/>
  <c r="AN148" i="1"/>
  <c r="K160" i="1"/>
  <c r="AJ160" i="1" l="1"/>
  <c r="AN160" i="1" s="1"/>
</calcChain>
</file>

<file path=xl/sharedStrings.xml><?xml version="1.0" encoding="utf-8"?>
<sst xmlns="http://schemas.openxmlformats.org/spreadsheetml/2006/main" count="39" uniqueCount="39">
  <si>
    <t>Municipio de Tuxtla Gutiérrez, Chiapas.</t>
  </si>
  <si>
    <t>Analítico de Ingresos por mes (Pesos a Precios corrientes)</t>
  </si>
  <si>
    <t>Mes</t>
  </si>
  <si>
    <t>Predial
 (1)</t>
  </si>
  <si>
    <t>Subsidio de Predial
 (2)</t>
  </si>
  <si>
    <t>Traslación de Dominio de Bienes Inmuebles
(3)</t>
  </si>
  <si>
    <t>Otros Impuestos 
(4)</t>
  </si>
  <si>
    <t>Impuestos
(5)= (1+2+3+4)</t>
  </si>
  <si>
    <t>Derechos 
(6)</t>
  </si>
  <si>
    <t>Productos 
(7)</t>
  </si>
  <si>
    <t>Aprovechamientos 
(8)</t>
  </si>
  <si>
    <t>Ingresos Propios (9)=(5+6+7+8)</t>
  </si>
  <si>
    <t>ISR Participable
 (10)</t>
  </si>
  <si>
    <t>ISR Derivado de la Enajenación de Bienes Inmuebles 
(11)</t>
  </si>
  <si>
    <t>Fondo General de Participaciones 
(12)</t>
  </si>
  <si>
    <t>Fondo de Fomento Municipal
(13)</t>
  </si>
  <si>
    <t>Fondo de Fiscalización y Recaudación 
(14)</t>
  </si>
  <si>
    <t>Fondo de Compensación 
(15)</t>
  </si>
  <si>
    <t>Impuesto Especial Sobre Productos y Servicios 
(16)</t>
  </si>
  <si>
    <t>Participación del Impuesto a la Venta Final de Gasolinas y Diésel 
(17)</t>
  </si>
  <si>
    <t>Impuestos Locales a la Venta Final de los Bienes Gravados con el Impuesto Especial Sobre Producción y Servicios 
(18)</t>
  </si>
  <si>
    <t>Fondo de Extracción de Hidrocarburos 
(19)</t>
  </si>
  <si>
    <t>Fondo de Estabilización de Entidades Federativas 
(20)</t>
  </si>
  <si>
    <t>Participaciones 
(21)=(11+12+13+14+15+16+17+18+19+20)</t>
  </si>
  <si>
    <t>Tenencia 
(22)</t>
  </si>
  <si>
    <t>Fondo de  Compensación ISAN 
(23)</t>
  </si>
  <si>
    <t>Impuesto Sobre Automóviles Nuevos 
(24)</t>
  </si>
  <si>
    <t>Otros Ingresos (Contribuciones de Mejora)
(25)</t>
  </si>
  <si>
    <t>Incentivos Derivados de la Coordinación Fiscal 
(26)=(22+23+24+25)</t>
  </si>
  <si>
    <t>Fondo para la Infraestructura Social Municipal
(27)</t>
  </si>
  <si>
    <t>Fondo de Aportaciones para el Fortalecimiento Municipal 
(28)</t>
  </si>
  <si>
    <t>Otros Subsidios y subvenciones 
(29)</t>
  </si>
  <si>
    <t>Aportaciones 
(30)=(27+28+29)</t>
  </si>
  <si>
    <t>Convenios 
(31)</t>
  </si>
  <si>
    <t>Ingresos Extraordinarios 
(32)</t>
  </si>
  <si>
    <t>Ingresos por Gestión 
(33)=(9+10+11)</t>
  </si>
  <si>
    <t>Participaciones e Incentivos 
(34)=(21+26)</t>
  </si>
  <si>
    <t>Rectificaciones 
(35)</t>
  </si>
  <si>
    <t>Total Ingresos (36)=(30+31+32+33+34+35)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</si>
</sst>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Ene&quot;\ yyyy"/>
    <numFmt numFmtId="165" formatCode="&quot;Feb&quot;\ yyyy"/>
    <numFmt numFmtId="166" formatCode="&quot;Mar&quot;\ yyyy"/>
    <numFmt numFmtId="167" formatCode="&quot;Abr&quot;\ yyyy"/>
    <numFmt numFmtId="168" formatCode="&quot;May&quot;\ yyyy"/>
    <numFmt numFmtId="169" formatCode="&quot;Jun&quot;\ yyyy"/>
    <numFmt numFmtId="170" formatCode="&quot;Jul&quot;\ yyyy"/>
    <numFmt numFmtId="171" formatCode="&quot;Ago&quot;\ yyyy"/>
    <numFmt numFmtId="172" formatCode="&quot;Sep&quot;\ yyyy"/>
    <numFmt numFmtId="173" formatCode="&quot;Oct&quot;\ yyyy"/>
    <numFmt numFmtId="174" formatCode="&quot;Nov&quot;\ yyyy"/>
    <numFmt numFmtId="175" formatCode="&quot;Dic&quot;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4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4" fontId="1" fillId="8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5" fillId="9" borderId="2" xfId="1" applyNumberFormat="1" applyFont="1" applyFill="1" applyBorder="1" applyAlignment="1">
      <alignment horizontal="right" vertical="center"/>
    </xf>
    <xf numFmtId="4" fontId="0" fillId="9" borderId="2" xfId="0" applyNumberFormat="1" applyFill="1" applyBorder="1"/>
    <xf numFmtId="4" fontId="0" fillId="9" borderId="0" xfId="0" applyNumberFormat="1" applyFill="1"/>
    <xf numFmtId="4" fontId="0" fillId="9" borderId="3" xfId="0" applyNumberFormat="1" applyFill="1" applyBorder="1"/>
    <xf numFmtId="4" fontId="0" fillId="9" borderId="4" xfId="0" applyNumberFormat="1" applyFill="1" applyBorder="1"/>
    <xf numFmtId="0" fontId="0" fillId="9" borderId="0" xfId="0" applyFill="1"/>
    <xf numFmtId="165" fontId="5" fillId="9" borderId="2" xfId="1" applyNumberFormat="1" applyFont="1" applyFill="1" applyBorder="1" applyAlignment="1">
      <alignment horizontal="right" vertical="center"/>
    </xf>
    <xf numFmtId="4" fontId="0" fillId="9" borderId="5" xfId="0" applyNumberFormat="1" applyFill="1" applyBorder="1"/>
    <xf numFmtId="166" fontId="5" fillId="9" borderId="2" xfId="1" applyNumberFormat="1" applyFont="1" applyFill="1" applyBorder="1" applyAlignment="1">
      <alignment horizontal="right" vertical="center"/>
    </xf>
    <xf numFmtId="167" fontId="5" fillId="9" borderId="2" xfId="1" applyNumberFormat="1" applyFont="1" applyFill="1" applyBorder="1" applyAlignment="1">
      <alignment horizontal="right" vertical="center"/>
    </xf>
    <xf numFmtId="168" fontId="5" fillId="9" borderId="2" xfId="1" applyNumberFormat="1" applyFont="1" applyFill="1" applyBorder="1" applyAlignment="1">
      <alignment horizontal="right" vertical="center"/>
    </xf>
    <xf numFmtId="169" fontId="5" fillId="9" borderId="2" xfId="1" applyNumberFormat="1" applyFont="1" applyFill="1" applyBorder="1" applyAlignment="1">
      <alignment horizontal="right" vertical="center"/>
    </xf>
    <xf numFmtId="170" fontId="5" fillId="9" borderId="2" xfId="1" applyNumberFormat="1" applyFont="1" applyFill="1" applyBorder="1" applyAlignment="1">
      <alignment horizontal="right" vertical="center"/>
    </xf>
    <xf numFmtId="171" fontId="5" fillId="9" borderId="2" xfId="1" applyNumberFormat="1" applyFont="1" applyFill="1" applyBorder="1" applyAlignment="1">
      <alignment horizontal="right" vertical="center"/>
    </xf>
    <xf numFmtId="172" fontId="5" fillId="9" borderId="2" xfId="1" applyNumberFormat="1" applyFont="1" applyFill="1" applyBorder="1" applyAlignment="1">
      <alignment horizontal="right" vertical="center"/>
    </xf>
    <xf numFmtId="173" fontId="5" fillId="9" borderId="2" xfId="1" applyNumberFormat="1" applyFont="1" applyFill="1" applyBorder="1" applyAlignment="1">
      <alignment horizontal="right" vertical="center"/>
    </xf>
    <xf numFmtId="174" fontId="5" fillId="9" borderId="2" xfId="1" applyNumberFormat="1" applyFont="1" applyFill="1" applyBorder="1" applyAlignment="1">
      <alignment horizontal="right" vertical="center"/>
    </xf>
    <xf numFmtId="175" fontId="5" fillId="9" borderId="2" xfId="1" applyNumberFormat="1" applyFont="1" applyFill="1" applyBorder="1" applyAlignment="1">
      <alignment horizontal="right" vertical="center"/>
    </xf>
    <xf numFmtId="173" fontId="5" fillId="10" borderId="2" xfId="1" applyNumberFormat="1" applyFont="1" applyFill="1" applyBorder="1" applyAlignment="1">
      <alignment horizontal="right" vertical="center"/>
    </xf>
    <xf numFmtId="4" fontId="0" fillId="10" borderId="2" xfId="0" applyNumberFormat="1" applyFill="1" applyBorder="1"/>
    <xf numFmtId="4" fontId="0" fillId="10" borderId="0" xfId="0" applyNumberFormat="1" applyFill="1"/>
    <xf numFmtId="4" fontId="0" fillId="10" borderId="3" xfId="0" applyNumberFormat="1" applyFill="1" applyBorder="1"/>
    <xf numFmtId="4" fontId="0" fillId="10" borderId="5" xfId="0" applyNumberFormat="1" applyFill="1" applyBorder="1"/>
    <xf numFmtId="174" fontId="5" fillId="10" borderId="2" xfId="1" applyNumberFormat="1" applyFont="1" applyFill="1" applyBorder="1" applyAlignment="1">
      <alignment horizontal="right" vertical="center"/>
    </xf>
    <xf numFmtId="175" fontId="5" fillId="10" borderId="2" xfId="1" applyNumberFormat="1" applyFont="1" applyFill="1" applyBorder="1" applyAlignment="1">
      <alignment horizontal="right" vertical="center"/>
    </xf>
    <xf numFmtId="164" fontId="5" fillId="10" borderId="2" xfId="1" applyNumberFormat="1" applyFont="1" applyFill="1" applyBorder="1" applyAlignment="1">
      <alignment horizontal="right" vertical="center"/>
    </xf>
    <xf numFmtId="165" fontId="5" fillId="10" borderId="2" xfId="1" applyNumberFormat="1" applyFont="1" applyFill="1" applyBorder="1" applyAlignment="1">
      <alignment horizontal="right" vertical="center"/>
    </xf>
    <xf numFmtId="166" fontId="5" fillId="10" borderId="2" xfId="1" applyNumberFormat="1" applyFont="1" applyFill="1" applyBorder="1" applyAlignment="1">
      <alignment horizontal="right" vertical="center"/>
    </xf>
    <xf numFmtId="167" fontId="5" fillId="10" borderId="2" xfId="1" applyNumberFormat="1" applyFont="1" applyFill="1" applyBorder="1" applyAlignment="1">
      <alignment horizontal="right" vertical="center"/>
    </xf>
    <xf numFmtId="168" fontId="5" fillId="10" borderId="2" xfId="1" applyNumberFormat="1" applyFont="1" applyFill="1" applyBorder="1" applyAlignment="1">
      <alignment horizontal="right" vertical="center"/>
    </xf>
    <xf numFmtId="169" fontId="5" fillId="10" borderId="2" xfId="1" applyNumberFormat="1" applyFont="1" applyFill="1" applyBorder="1" applyAlignment="1">
      <alignment horizontal="right" vertical="center"/>
    </xf>
    <xf numFmtId="170" fontId="5" fillId="10" borderId="2" xfId="1" applyNumberFormat="1" applyFont="1" applyFill="1" applyBorder="1" applyAlignment="1">
      <alignment horizontal="right" vertical="center"/>
    </xf>
    <xf numFmtId="171" fontId="5" fillId="10" borderId="2" xfId="1" applyNumberFormat="1" applyFont="1" applyFill="1" applyBorder="1" applyAlignment="1">
      <alignment horizontal="right" vertical="center"/>
    </xf>
    <xf numFmtId="172" fontId="5" fillId="10" borderId="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166"/>
  <sheetViews>
    <sheetView showGridLines="0" tabSelected="1" zoomScaleNormal="100" workbookViewId="0">
      <pane xSplit="2" ySplit="3" topLeftCell="C4" activePane="bottomRight" state="frozen"/>
      <selection activeCell="A166" sqref="A166"/>
      <selection pane="topRight" activeCell="A166" sqref="A166"/>
      <selection pane="bottomLeft" activeCell="A166" sqref="A166"/>
      <selection pane="bottomRight" activeCell="B2" sqref="B2:F2"/>
    </sheetView>
  </sheetViews>
  <sheetFormatPr baseColWidth="10" defaultColWidth="10.6640625" defaultRowHeight="14.4" x14ac:dyDescent="0.3"/>
  <cols>
    <col min="1" max="1" width="1.6640625" customWidth="1"/>
    <col min="2" max="2" width="12.5546875" bestFit="1" customWidth="1"/>
    <col min="3" max="34" width="20.6640625" style="1" customWidth="1"/>
    <col min="35" max="35" width="1.6640625" style="1" customWidth="1"/>
    <col min="36" max="38" width="20.6640625" style="1" customWidth="1"/>
    <col min="39" max="39" width="1.6640625" style="1" customWidth="1"/>
    <col min="40" max="40" width="20.6640625" style="1" customWidth="1"/>
  </cols>
  <sheetData>
    <row r="1" spans="2:40" ht="18" x14ac:dyDescent="0.35">
      <c r="B1" s="46" t="s">
        <v>0</v>
      </c>
      <c r="C1" s="46"/>
      <c r="D1" s="46"/>
      <c r="E1" s="46"/>
      <c r="F1" s="46"/>
    </row>
    <row r="2" spans="2:40" ht="15.6" x14ac:dyDescent="0.3">
      <c r="B2" s="47" t="s">
        <v>1</v>
      </c>
      <c r="C2" s="47"/>
      <c r="D2" s="47"/>
      <c r="E2" s="47"/>
      <c r="F2" s="47"/>
    </row>
    <row r="3" spans="2:40" s="11" customFormat="1" ht="100.8" x14ac:dyDescent="0.3"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11</v>
      </c>
      <c r="L3" s="5" t="s">
        <v>12</v>
      </c>
      <c r="M3" s="5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5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5" t="s">
        <v>28</v>
      </c>
      <c r="AC3" s="7" t="s">
        <v>29</v>
      </c>
      <c r="AD3" s="7" t="s">
        <v>30</v>
      </c>
      <c r="AE3" s="7" t="s">
        <v>31</v>
      </c>
      <c r="AF3" s="5" t="s">
        <v>32</v>
      </c>
      <c r="AG3" s="5" t="s">
        <v>33</v>
      </c>
      <c r="AH3" s="5" t="s">
        <v>34</v>
      </c>
      <c r="AI3" s="8"/>
      <c r="AJ3" s="9" t="s">
        <v>35</v>
      </c>
      <c r="AK3" s="9" t="s">
        <v>36</v>
      </c>
      <c r="AL3" s="9" t="s">
        <v>37</v>
      </c>
      <c r="AM3" s="8"/>
      <c r="AN3" s="10" t="s">
        <v>38</v>
      </c>
    </row>
    <row r="4" spans="2:40" s="17" customFormat="1" x14ac:dyDescent="0.3">
      <c r="B4" s="12">
        <v>39448</v>
      </c>
      <c r="C4" s="13">
        <v>30207194.07</v>
      </c>
      <c r="D4" s="13">
        <v>0</v>
      </c>
      <c r="E4" s="13">
        <v>1276372</v>
      </c>
      <c r="F4" s="13">
        <v>129172.15000000001</v>
      </c>
      <c r="G4" s="13">
        <f>SUM(C4:F4)</f>
        <v>31612738.219999999</v>
      </c>
      <c r="H4" s="13">
        <v>4561537.87</v>
      </c>
      <c r="I4" s="13">
        <v>247871.53</v>
      </c>
      <c r="J4" s="13">
        <v>1700363.07</v>
      </c>
      <c r="K4" s="13">
        <f>SUM(G4:J4)</f>
        <v>38122510.689999998</v>
      </c>
      <c r="L4" s="13">
        <v>0</v>
      </c>
      <c r="M4" s="13">
        <v>0</v>
      </c>
      <c r="N4" s="13">
        <v>62082332.329999998</v>
      </c>
      <c r="O4" s="13">
        <v>4507636.26</v>
      </c>
      <c r="P4" s="13">
        <v>0</v>
      </c>
      <c r="Q4" s="13">
        <v>0</v>
      </c>
      <c r="R4" s="13">
        <v>265674.28999999998</v>
      </c>
      <c r="S4" s="13">
        <v>0</v>
      </c>
      <c r="T4" s="13">
        <v>0</v>
      </c>
      <c r="U4" s="13">
        <v>0</v>
      </c>
      <c r="V4" s="13">
        <v>0</v>
      </c>
      <c r="W4" s="13">
        <f t="shared" ref="W4:W35" si="0">SUM(M4:V4)</f>
        <v>66855642.879999995</v>
      </c>
      <c r="X4" s="13">
        <v>585401.39</v>
      </c>
      <c r="Y4" s="13">
        <v>0</v>
      </c>
      <c r="Z4" s="13">
        <v>321860.71000000002</v>
      </c>
      <c r="AA4" s="13">
        <v>0</v>
      </c>
      <c r="AB4" s="13">
        <f>SUM(X4:AA4)</f>
        <v>907262.10000000009</v>
      </c>
      <c r="AC4" s="13">
        <v>0</v>
      </c>
      <c r="AD4" s="13">
        <v>0</v>
      </c>
      <c r="AE4" s="13">
        <v>0</v>
      </c>
      <c r="AF4" s="13">
        <f>SUM(AC4:AE4)</f>
        <v>0</v>
      </c>
      <c r="AG4" s="13">
        <v>0</v>
      </c>
      <c r="AH4" s="13">
        <v>0</v>
      </c>
      <c r="AI4" s="14"/>
      <c r="AJ4" s="13">
        <f>K4</f>
        <v>38122510.689999998</v>
      </c>
      <c r="AK4" s="15">
        <f>W4+AB4</f>
        <v>67762904.979999989</v>
      </c>
      <c r="AL4" s="16">
        <v>-6683888.5199999996</v>
      </c>
      <c r="AM4" s="8"/>
      <c r="AN4" s="13">
        <f>AJ4+AK4+AF4+AG4+AH4+AL4</f>
        <v>99201527.149999991</v>
      </c>
    </row>
    <row r="5" spans="2:40" s="17" customFormat="1" x14ac:dyDescent="0.3">
      <c r="B5" s="18">
        <v>39479</v>
      </c>
      <c r="C5" s="13">
        <v>4638615.78</v>
      </c>
      <c r="D5" s="13">
        <v>0</v>
      </c>
      <c r="E5" s="13">
        <v>2027710</v>
      </c>
      <c r="F5" s="13">
        <v>188115.48</v>
      </c>
      <c r="G5" s="13">
        <f>SUM(C5:F5)</f>
        <v>6854441.2600000007</v>
      </c>
      <c r="H5" s="13">
        <v>4090785.18</v>
      </c>
      <c r="I5" s="13">
        <v>268178.45</v>
      </c>
      <c r="J5" s="13">
        <v>1781690.86</v>
      </c>
      <c r="K5" s="13">
        <f t="shared" ref="K5:K68" si="1">SUM(G5:J5)</f>
        <v>12995095.75</v>
      </c>
      <c r="L5" s="13">
        <v>0</v>
      </c>
      <c r="M5" s="13">
        <v>0</v>
      </c>
      <c r="N5" s="13">
        <v>34749159.689999998</v>
      </c>
      <c r="O5" s="13">
        <v>3788698.65</v>
      </c>
      <c r="P5" s="13">
        <v>0</v>
      </c>
      <c r="Q5" s="13">
        <v>0</v>
      </c>
      <c r="R5" s="13">
        <v>370909.59</v>
      </c>
      <c r="S5" s="13">
        <v>0</v>
      </c>
      <c r="T5" s="13">
        <v>0</v>
      </c>
      <c r="U5" s="13">
        <v>0</v>
      </c>
      <c r="V5" s="13">
        <v>0</v>
      </c>
      <c r="W5" s="13">
        <f t="shared" si="0"/>
        <v>38908767.93</v>
      </c>
      <c r="X5" s="13">
        <v>3031958.96</v>
      </c>
      <c r="Y5" s="13">
        <v>0</v>
      </c>
      <c r="Z5" s="13">
        <v>531180.97</v>
      </c>
      <c r="AA5" s="13">
        <v>0</v>
      </c>
      <c r="AB5" s="13">
        <f t="shared" ref="AB5:AB68" si="2">SUM(X5:AA5)</f>
        <v>3563139.9299999997</v>
      </c>
      <c r="AC5" s="13">
        <v>8987415.9000000004</v>
      </c>
      <c r="AD5" s="13">
        <v>16005788.890000001</v>
      </c>
      <c r="AE5" s="13">
        <v>0</v>
      </c>
      <c r="AF5" s="13">
        <f t="shared" ref="AF5:AF68" si="3">SUM(AC5:AE5)</f>
        <v>24993204.789999999</v>
      </c>
      <c r="AG5" s="13">
        <v>0</v>
      </c>
      <c r="AH5" s="13">
        <v>0</v>
      </c>
      <c r="AI5" s="14"/>
      <c r="AJ5" s="13">
        <f>K5</f>
        <v>12995095.75</v>
      </c>
      <c r="AK5" s="15">
        <f t="shared" ref="AK5:AK68" si="4">W5+AB5</f>
        <v>42471907.859999999</v>
      </c>
      <c r="AL5" s="19">
        <v>49799.64</v>
      </c>
      <c r="AM5" s="8"/>
      <c r="AN5" s="13">
        <f t="shared" ref="AN5:AN68" si="5">AJ5+AK5+AF5+AG5+AH5+AL5</f>
        <v>80510008.040000007</v>
      </c>
    </row>
    <row r="6" spans="2:40" s="17" customFormat="1" x14ac:dyDescent="0.3">
      <c r="B6" s="20">
        <v>39508</v>
      </c>
      <c r="C6" s="13">
        <v>3694418.41</v>
      </c>
      <c r="D6" s="13">
        <v>0</v>
      </c>
      <c r="E6" s="13">
        <v>1680649</v>
      </c>
      <c r="F6" s="13">
        <v>205736.09</v>
      </c>
      <c r="G6" s="13">
        <f t="shared" ref="G6:G66" si="6">SUM(C6:F6)</f>
        <v>5580803.5</v>
      </c>
      <c r="H6" s="13">
        <v>12073409.77</v>
      </c>
      <c r="I6" s="13">
        <v>1162561.92</v>
      </c>
      <c r="J6" s="13">
        <v>1567572.39</v>
      </c>
      <c r="K6" s="13">
        <f t="shared" si="1"/>
        <v>20384347.579999998</v>
      </c>
      <c r="L6" s="13">
        <v>0</v>
      </c>
      <c r="M6" s="13">
        <v>0</v>
      </c>
      <c r="N6" s="13">
        <v>24985380.210000001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f t="shared" si="0"/>
        <v>24985380.210000001</v>
      </c>
      <c r="X6" s="13">
        <v>1167851.81</v>
      </c>
      <c r="Y6" s="13">
        <v>0</v>
      </c>
      <c r="Z6" s="13">
        <v>331662.13</v>
      </c>
      <c r="AA6" s="13">
        <v>0</v>
      </c>
      <c r="AB6" s="13">
        <f t="shared" si="2"/>
        <v>1499513.94</v>
      </c>
      <c r="AC6" s="13">
        <v>8987415.9000000004</v>
      </c>
      <c r="AD6" s="13">
        <v>16005589.17</v>
      </c>
      <c r="AE6" s="13">
        <v>0</v>
      </c>
      <c r="AF6" s="13">
        <f t="shared" si="3"/>
        <v>24993005.07</v>
      </c>
      <c r="AG6" s="13">
        <v>0</v>
      </c>
      <c r="AH6" s="13">
        <v>0</v>
      </c>
      <c r="AI6" s="14"/>
      <c r="AJ6" s="13">
        <f t="shared" ref="AJ6:AJ69" si="7">K6+L6</f>
        <v>20384347.579999998</v>
      </c>
      <c r="AK6" s="15">
        <f t="shared" si="4"/>
        <v>26484894.150000002</v>
      </c>
      <c r="AL6" s="19">
        <v>-0.54</v>
      </c>
      <c r="AM6" s="8"/>
      <c r="AN6" s="13">
        <f t="shared" si="5"/>
        <v>71862246.260000005</v>
      </c>
    </row>
    <row r="7" spans="2:40" s="17" customFormat="1" x14ac:dyDescent="0.3">
      <c r="B7" s="21">
        <v>39539</v>
      </c>
      <c r="C7" s="13">
        <v>1692108.61</v>
      </c>
      <c r="D7" s="13">
        <v>0</v>
      </c>
      <c r="E7" s="13">
        <v>1926816</v>
      </c>
      <c r="F7" s="13">
        <v>252563.47999999998</v>
      </c>
      <c r="G7" s="13">
        <f>SUM(C7:F7)</f>
        <v>3871488.0900000003</v>
      </c>
      <c r="H7" s="13">
        <v>3595964.21</v>
      </c>
      <c r="I7" s="13">
        <v>252853.95</v>
      </c>
      <c r="J7" s="13">
        <v>1594375.25</v>
      </c>
      <c r="K7" s="13">
        <f t="shared" si="1"/>
        <v>9314681.5</v>
      </c>
      <c r="L7" s="13">
        <v>0</v>
      </c>
      <c r="M7" s="13">
        <v>0</v>
      </c>
      <c r="N7" s="13">
        <v>51240044.549999997</v>
      </c>
      <c r="O7" s="13">
        <v>10395083.529999999</v>
      </c>
      <c r="P7" s="13">
        <v>0</v>
      </c>
      <c r="Q7" s="13">
        <v>0</v>
      </c>
      <c r="R7" s="13">
        <v>523163.42</v>
      </c>
      <c r="S7" s="13">
        <v>0</v>
      </c>
      <c r="T7" s="13">
        <v>0</v>
      </c>
      <c r="U7" s="13">
        <v>0</v>
      </c>
      <c r="V7" s="13">
        <v>0</v>
      </c>
      <c r="W7" s="13">
        <f t="shared" si="0"/>
        <v>62158291.5</v>
      </c>
      <c r="X7" s="13">
        <v>1948757.48</v>
      </c>
      <c r="Y7" s="13">
        <v>0</v>
      </c>
      <c r="Z7" s="13">
        <v>284521.67</v>
      </c>
      <c r="AA7" s="13">
        <v>0</v>
      </c>
      <c r="AB7" s="13">
        <f t="shared" si="2"/>
        <v>2233279.15</v>
      </c>
      <c r="AC7" s="13">
        <v>8987415.9000000004</v>
      </c>
      <c r="AD7" s="13">
        <v>16005589.17</v>
      </c>
      <c r="AE7" s="13">
        <v>0</v>
      </c>
      <c r="AF7" s="13">
        <f t="shared" si="3"/>
        <v>24993005.07</v>
      </c>
      <c r="AG7" s="13">
        <v>0</v>
      </c>
      <c r="AH7" s="13">
        <v>0</v>
      </c>
      <c r="AI7" s="14"/>
      <c r="AJ7" s="13">
        <f t="shared" si="7"/>
        <v>9314681.5</v>
      </c>
      <c r="AK7" s="15">
        <f t="shared" si="4"/>
        <v>64391570.649999999</v>
      </c>
      <c r="AL7" s="19">
        <v>1076509.82</v>
      </c>
      <c r="AM7" s="8"/>
      <c r="AN7" s="13">
        <f t="shared" si="5"/>
        <v>99775767.039999992</v>
      </c>
    </row>
    <row r="8" spans="2:40" s="17" customFormat="1" x14ac:dyDescent="0.3">
      <c r="B8" s="22">
        <v>39569</v>
      </c>
      <c r="C8" s="13">
        <v>1198141.79</v>
      </c>
      <c r="D8" s="13">
        <v>0</v>
      </c>
      <c r="E8" s="13">
        <v>2115911</v>
      </c>
      <c r="F8" s="13">
        <v>586973.59000000008</v>
      </c>
      <c r="G8" s="13">
        <f t="shared" si="6"/>
        <v>3901026.38</v>
      </c>
      <c r="H8" s="13">
        <v>3029906.02</v>
      </c>
      <c r="I8" s="13">
        <v>12112644.23</v>
      </c>
      <c r="J8" s="13">
        <v>1511804.43</v>
      </c>
      <c r="K8" s="13">
        <f t="shared" si="1"/>
        <v>20555381.060000002</v>
      </c>
      <c r="L8" s="13">
        <v>0</v>
      </c>
      <c r="M8" s="13">
        <v>0</v>
      </c>
      <c r="N8" s="13">
        <v>35535350.780000001</v>
      </c>
      <c r="O8" s="13">
        <v>4104737.15</v>
      </c>
      <c r="P8" s="13">
        <v>0</v>
      </c>
      <c r="Q8" s="13">
        <v>0</v>
      </c>
      <c r="R8" s="13">
        <v>315024.53999999998</v>
      </c>
      <c r="S8" s="13">
        <v>0</v>
      </c>
      <c r="T8" s="13">
        <v>0</v>
      </c>
      <c r="U8" s="13">
        <v>0</v>
      </c>
      <c r="V8" s="13">
        <v>0</v>
      </c>
      <c r="W8" s="13">
        <f t="shared" si="0"/>
        <v>39955112.469999999</v>
      </c>
      <c r="X8" s="13">
        <v>1090233.04</v>
      </c>
      <c r="Y8" s="13">
        <v>0</v>
      </c>
      <c r="Z8" s="13">
        <v>254755.05</v>
      </c>
      <c r="AA8" s="13">
        <v>0</v>
      </c>
      <c r="AB8" s="13">
        <f t="shared" si="2"/>
        <v>1344988.09</v>
      </c>
      <c r="AC8" s="13">
        <v>8987415.9000000004</v>
      </c>
      <c r="AD8" s="13">
        <v>16005589.17</v>
      </c>
      <c r="AE8" s="13">
        <v>14305615.52</v>
      </c>
      <c r="AF8" s="13">
        <f t="shared" si="3"/>
        <v>39298620.590000004</v>
      </c>
      <c r="AG8" s="13">
        <v>0</v>
      </c>
      <c r="AH8" s="13">
        <v>0</v>
      </c>
      <c r="AI8" s="14"/>
      <c r="AJ8" s="13">
        <f t="shared" si="7"/>
        <v>20555381.060000002</v>
      </c>
      <c r="AK8" s="15">
        <f>W8+AB8</f>
        <v>41300100.560000002</v>
      </c>
      <c r="AL8" s="19">
        <v>573331.73</v>
      </c>
      <c r="AM8" s="8"/>
      <c r="AN8" s="13">
        <f t="shared" si="5"/>
        <v>101727433.94000001</v>
      </c>
    </row>
    <row r="9" spans="2:40" s="17" customFormat="1" x14ac:dyDescent="0.3">
      <c r="B9" s="23">
        <v>39600</v>
      </c>
      <c r="C9" s="13">
        <v>963599.65</v>
      </c>
      <c r="D9" s="13">
        <v>0</v>
      </c>
      <c r="E9" s="13">
        <v>2192588</v>
      </c>
      <c r="F9" s="13">
        <v>231920.56000000006</v>
      </c>
      <c r="G9" s="13">
        <f t="shared" si="6"/>
        <v>3388108.21</v>
      </c>
      <c r="H9" s="13">
        <v>4391073.7699999996</v>
      </c>
      <c r="I9" s="13">
        <v>467393.81</v>
      </c>
      <c r="J9" s="13">
        <v>1760271.41</v>
      </c>
      <c r="K9" s="13">
        <f t="shared" si="1"/>
        <v>10006847.199999999</v>
      </c>
      <c r="L9" s="13">
        <v>0</v>
      </c>
      <c r="M9" s="13">
        <v>0</v>
      </c>
      <c r="N9" s="13">
        <v>43945978.810000002</v>
      </c>
      <c r="O9" s="13">
        <v>3335920.11</v>
      </c>
      <c r="P9" s="13">
        <v>0</v>
      </c>
      <c r="Q9" s="13">
        <v>0</v>
      </c>
      <c r="R9" s="13">
        <v>399235.09</v>
      </c>
      <c r="S9" s="13">
        <v>0</v>
      </c>
      <c r="T9" s="13">
        <v>0</v>
      </c>
      <c r="U9" s="13">
        <v>0</v>
      </c>
      <c r="V9" s="13">
        <v>0</v>
      </c>
      <c r="W9" s="13">
        <f t="shared" si="0"/>
        <v>47681134.010000005</v>
      </c>
      <c r="X9" s="13">
        <v>624057.68000000005</v>
      </c>
      <c r="Y9" s="13">
        <v>0</v>
      </c>
      <c r="Z9" s="13">
        <v>322375.92</v>
      </c>
      <c r="AA9" s="13">
        <v>0</v>
      </c>
      <c r="AB9" s="13">
        <f t="shared" si="2"/>
        <v>946433.60000000009</v>
      </c>
      <c r="AC9" s="13">
        <v>8987415.9000000004</v>
      </c>
      <c r="AD9" s="13">
        <v>16005589.17</v>
      </c>
      <c r="AE9" s="13">
        <v>0</v>
      </c>
      <c r="AF9" s="13">
        <f t="shared" si="3"/>
        <v>24993005.07</v>
      </c>
      <c r="AG9" s="13">
        <v>0</v>
      </c>
      <c r="AH9" s="13">
        <v>0</v>
      </c>
      <c r="AI9" s="14"/>
      <c r="AJ9" s="13">
        <f t="shared" si="7"/>
        <v>10006847.199999999</v>
      </c>
      <c r="AK9" s="15">
        <f t="shared" si="4"/>
        <v>48627567.610000007</v>
      </c>
      <c r="AL9" s="19">
        <v>0</v>
      </c>
      <c r="AM9" s="8"/>
      <c r="AN9" s="13">
        <f t="shared" si="5"/>
        <v>83627419.879999995</v>
      </c>
    </row>
    <row r="10" spans="2:40" s="17" customFormat="1" x14ac:dyDescent="0.3">
      <c r="B10" s="24">
        <v>39630</v>
      </c>
      <c r="C10" s="13">
        <v>1370280.1</v>
      </c>
      <c r="D10" s="13">
        <v>0</v>
      </c>
      <c r="E10" s="13">
        <v>2646307.14</v>
      </c>
      <c r="F10" s="13">
        <v>119492.34999999999</v>
      </c>
      <c r="G10" s="13">
        <f t="shared" si="6"/>
        <v>4136079.5900000003</v>
      </c>
      <c r="H10" s="13">
        <v>3195190.77</v>
      </c>
      <c r="I10" s="13">
        <v>1710025.76</v>
      </c>
      <c r="J10" s="13">
        <v>1688121.38</v>
      </c>
      <c r="K10" s="13">
        <f t="shared" si="1"/>
        <v>10729417.5</v>
      </c>
      <c r="L10" s="13">
        <v>0</v>
      </c>
      <c r="M10" s="13">
        <v>0</v>
      </c>
      <c r="N10" s="13">
        <v>48416594.93</v>
      </c>
      <c r="O10" s="13">
        <v>5310696.8899999997</v>
      </c>
      <c r="P10" s="13">
        <v>0</v>
      </c>
      <c r="Q10" s="13">
        <v>0</v>
      </c>
      <c r="R10" s="13">
        <v>993208.9</v>
      </c>
      <c r="S10" s="13">
        <v>0</v>
      </c>
      <c r="T10" s="13">
        <v>0</v>
      </c>
      <c r="U10" s="13">
        <v>0</v>
      </c>
      <c r="V10" s="13">
        <v>0</v>
      </c>
      <c r="W10" s="13">
        <f t="shared" si="0"/>
        <v>54720500.719999999</v>
      </c>
      <c r="X10" s="13">
        <v>723000.77</v>
      </c>
      <c r="Y10" s="13">
        <v>0</v>
      </c>
      <c r="Z10" s="13">
        <v>217005.68</v>
      </c>
      <c r="AA10" s="13">
        <v>0</v>
      </c>
      <c r="AB10" s="13">
        <f t="shared" si="2"/>
        <v>940006.45</v>
      </c>
      <c r="AC10" s="13">
        <v>8987415.9000000004</v>
      </c>
      <c r="AD10" s="13">
        <v>16005589.17</v>
      </c>
      <c r="AE10" s="13">
        <v>22371761.899999999</v>
      </c>
      <c r="AF10" s="13">
        <f t="shared" si="3"/>
        <v>47364766.969999999</v>
      </c>
      <c r="AG10" s="13">
        <v>0</v>
      </c>
      <c r="AH10" s="13">
        <v>21550650.5</v>
      </c>
      <c r="AI10" s="14"/>
      <c r="AJ10" s="13">
        <f t="shared" si="7"/>
        <v>10729417.5</v>
      </c>
      <c r="AK10" s="15">
        <f>W10+AB10</f>
        <v>55660507.170000002</v>
      </c>
      <c r="AL10" s="19">
        <v>-6497.5</v>
      </c>
      <c r="AM10" s="8"/>
      <c r="AN10" s="13">
        <f t="shared" si="5"/>
        <v>135298844.63999999</v>
      </c>
    </row>
    <row r="11" spans="2:40" s="17" customFormat="1" x14ac:dyDescent="0.3">
      <c r="B11" s="25">
        <v>39661</v>
      </c>
      <c r="C11" s="13">
        <v>1165589.8700000001</v>
      </c>
      <c r="D11" s="13">
        <v>0</v>
      </c>
      <c r="E11" s="13">
        <v>1962816</v>
      </c>
      <c r="F11" s="13">
        <v>171335.88</v>
      </c>
      <c r="G11" s="13">
        <f t="shared" si="6"/>
        <v>3299741.75</v>
      </c>
      <c r="H11" s="13">
        <v>2730317.68</v>
      </c>
      <c r="I11" s="13">
        <v>2614596.94</v>
      </c>
      <c r="J11" s="13">
        <v>1839825.62</v>
      </c>
      <c r="K11" s="13">
        <f t="shared" si="1"/>
        <v>10484481.989999998</v>
      </c>
      <c r="L11" s="13">
        <v>0</v>
      </c>
      <c r="M11" s="13">
        <v>0</v>
      </c>
      <c r="N11" s="13">
        <v>39175451.079999998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 t="shared" si="0"/>
        <v>39175451.079999998</v>
      </c>
      <c r="X11" s="13">
        <v>567949.99</v>
      </c>
      <c r="Y11" s="13">
        <v>0</v>
      </c>
      <c r="Z11" s="13">
        <v>244636.03</v>
      </c>
      <c r="AA11" s="13">
        <v>0</v>
      </c>
      <c r="AB11" s="13">
        <f t="shared" si="2"/>
        <v>812586.02</v>
      </c>
      <c r="AC11" s="13">
        <v>8987415.9000000004</v>
      </c>
      <c r="AD11" s="13">
        <v>16005589.17</v>
      </c>
      <c r="AE11" s="13">
        <v>37822692.340000004</v>
      </c>
      <c r="AF11" s="13">
        <f t="shared" si="3"/>
        <v>62815697.410000004</v>
      </c>
      <c r="AG11" s="13">
        <v>0</v>
      </c>
      <c r="AH11" s="13">
        <v>3633904.9</v>
      </c>
      <c r="AI11" s="14"/>
      <c r="AJ11" s="13">
        <f t="shared" si="7"/>
        <v>10484481.989999998</v>
      </c>
      <c r="AK11" s="15">
        <f t="shared" si="4"/>
        <v>39988037.100000001</v>
      </c>
      <c r="AL11" s="19">
        <v>0</v>
      </c>
      <c r="AM11" s="8"/>
      <c r="AN11" s="13">
        <f t="shared" si="5"/>
        <v>116922121.40000001</v>
      </c>
    </row>
    <row r="12" spans="2:40" s="17" customFormat="1" x14ac:dyDescent="0.3">
      <c r="B12" s="26">
        <v>39692</v>
      </c>
      <c r="C12" s="13">
        <v>1196043.24</v>
      </c>
      <c r="D12" s="13">
        <v>0</v>
      </c>
      <c r="E12" s="13">
        <v>1790247</v>
      </c>
      <c r="F12" s="13">
        <v>397560.35000000003</v>
      </c>
      <c r="G12" s="13">
        <f t="shared" si="6"/>
        <v>3383850.5900000003</v>
      </c>
      <c r="H12" s="13">
        <v>2718597.37</v>
      </c>
      <c r="I12" s="13">
        <v>1862312.81</v>
      </c>
      <c r="J12" s="13">
        <v>1455946.81</v>
      </c>
      <c r="K12" s="13">
        <f t="shared" si="1"/>
        <v>9420707.5800000019</v>
      </c>
      <c r="L12" s="13">
        <v>0</v>
      </c>
      <c r="M12" s="13">
        <v>0</v>
      </c>
      <c r="N12" s="13">
        <v>34588417.659999996</v>
      </c>
      <c r="O12" s="13">
        <v>7211071.9500000002</v>
      </c>
      <c r="P12" s="13">
        <v>0</v>
      </c>
      <c r="Q12" s="13">
        <v>0</v>
      </c>
      <c r="R12" s="13">
        <v>722239.4</v>
      </c>
      <c r="S12" s="13">
        <v>0</v>
      </c>
      <c r="T12" s="13">
        <v>0</v>
      </c>
      <c r="U12" s="13">
        <v>0</v>
      </c>
      <c r="V12" s="13">
        <v>0</v>
      </c>
      <c r="W12" s="13">
        <f t="shared" si="0"/>
        <v>42521729.009999998</v>
      </c>
      <c r="X12" s="13">
        <v>332241.13</v>
      </c>
      <c r="Y12" s="13">
        <v>0</v>
      </c>
      <c r="Z12" s="13">
        <v>251533.85</v>
      </c>
      <c r="AA12" s="13">
        <v>0</v>
      </c>
      <c r="AB12" s="13">
        <f t="shared" si="2"/>
        <v>583774.98</v>
      </c>
      <c r="AC12" s="13">
        <v>6764291.8899999997</v>
      </c>
      <c r="AD12" s="13">
        <v>16005589.17</v>
      </c>
      <c r="AE12" s="13">
        <v>23541040.219999999</v>
      </c>
      <c r="AF12" s="13">
        <f t="shared" si="3"/>
        <v>46310921.280000001</v>
      </c>
      <c r="AG12" s="13">
        <v>0</v>
      </c>
      <c r="AH12" s="13">
        <v>3755918</v>
      </c>
      <c r="AI12" s="14"/>
      <c r="AJ12" s="13">
        <f t="shared" si="7"/>
        <v>9420707.5800000019</v>
      </c>
      <c r="AK12" s="15">
        <f t="shared" si="4"/>
        <v>43105503.989999995</v>
      </c>
      <c r="AL12" s="19">
        <v>-3456</v>
      </c>
      <c r="AM12" s="8"/>
      <c r="AN12" s="13">
        <f t="shared" si="5"/>
        <v>102589594.84999999</v>
      </c>
    </row>
    <row r="13" spans="2:40" s="17" customFormat="1" x14ac:dyDescent="0.3">
      <c r="B13" s="27">
        <v>39722</v>
      </c>
      <c r="C13" s="13">
        <v>1404135.64</v>
      </c>
      <c r="D13" s="13">
        <v>0</v>
      </c>
      <c r="E13" s="13">
        <v>2136605</v>
      </c>
      <c r="F13" s="13">
        <v>95006.37</v>
      </c>
      <c r="G13" s="13">
        <f t="shared" si="6"/>
        <v>3635747.01</v>
      </c>
      <c r="H13" s="13">
        <v>3228423.16</v>
      </c>
      <c r="I13" s="13">
        <v>1261375.96</v>
      </c>
      <c r="J13" s="13">
        <v>1530883.94</v>
      </c>
      <c r="K13" s="13">
        <f t="shared" si="1"/>
        <v>9656430.0700000003</v>
      </c>
      <c r="L13" s="13">
        <v>0</v>
      </c>
      <c r="M13" s="13">
        <v>0</v>
      </c>
      <c r="N13" s="13">
        <v>70898352.879999995</v>
      </c>
      <c r="O13" s="13">
        <v>3971052.08</v>
      </c>
      <c r="P13" s="13">
        <v>0</v>
      </c>
      <c r="Q13" s="13">
        <v>0</v>
      </c>
      <c r="R13" s="13">
        <v>337476.84</v>
      </c>
      <c r="S13" s="13">
        <v>0</v>
      </c>
      <c r="T13" s="13">
        <v>0</v>
      </c>
      <c r="U13" s="13">
        <v>0</v>
      </c>
      <c r="V13" s="13">
        <v>0</v>
      </c>
      <c r="W13" s="13">
        <f t="shared" si="0"/>
        <v>75206881.799999997</v>
      </c>
      <c r="X13" s="13">
        <v>353900.44</v>
      </c>
      <c r="Y13" s="13">
        <v>0</v>
      </c>
      <c r="Z13" s="13">
        <v>264796.59000000003</v>
      </c>
      <c r="AA13" s="13">
        <v>0</v>
      </c>
      <c r="AB13" s="13">
        <f t="shared" si="2"/>
        <v>618697.03</v>
      </c>
      <c r="AC13" s="13">
        <v>11210539.91</v>
      </c>
      <c r="AD13" s="13">
        <v>16005589.17</v>
      </c>
      <c r="AE13" s="13">
        <v>2727387.02</v>
      </c>
      <c r="AF13" s="13">
        <f t="shared" si="3"/>
        <v>29943516.099999998</v>
      </c>
      <c r="AG13" s="13">
        <v>0</v>
      </c>
      <c r="AH13" s="13">
        <v>4350383.66</v>
      </c>
      <c r="AI13" s="14"/>
      <c r="AJ13" s="13">
        <f t="shared" si="7"/>
        <v>9656430.0700000003</v>
      </c>
      <c r="AK13" s="15">
        <f t="shared" si="4"/>
        <v>75825578.829999998</v>
      </c>
      <c r="AL13" s="19">
        <v>-565</v>
      </c>
      <c r="AM13" s="8"/>
      <c r="AN13" s="13">
        <f t="shared" si="5"/>
        <v>119775343.66</v>
      </c>
    </row>
    <row r="14" spans="2:40" s="17" customFormat="1" x14ac:dyDescent="0.3">
      <c r="B14" s="28">
        <v>39753</v>
      </c>
      <c r="C14" s="13">
        <v>1120922.3600000001</v>
      </c>
      <c r="D14" s="13">
        <v>0</v>
      </c>
      <c r="E14" s="13">
        <v>2559996</v>
      </c>
      <c r="F14" s="13">
        <v>287302.13</v>
      </c>
      <c r="G14" s="13">
        <f t="shared" si="6"/>
        <v>3968220.49</v>
      </c>
      <c r="H14" s="13">
        <v>3256278.81</v>
      </c>
      <c r="I14" s="13">
        <v>237448.26</v>
      </c>
      <c r="J14" s="13">
        <v>1925936.53</v>
      </c>
      <c r="K14" s="13">
        <f t="shared" si="1"/>
        <v>9387884.0899999999</v>
      </c>
      <c r="L14" s="13">
        <v>0</v>
      </c>
      <c r="M14" s="13">
        <v>0</v>
      </c>
      <c r="N14" s="13">
        <v>28327448.43</v>
      </c>
      <c r="O14" s="13">
        <v>3791740.71</v>
      </c>
      <c r="P14" s="13">
        <v>0</v>
      </c>
      <c r="Q14" s="13">
        <v>0</v>
      </c>
      <c r="R14" s="13">
        <v>418423.52</v>
      </c>
      <c r="S14" s="13">
        <v>0</v>
      </c>
      <c r="T14" s="13">
        <v>0</v>
      </c>
      <c r="U14" s="13">
        <v>0</v>
      </c>
      <c r="V14" s="13">
        <v>0</v>
      </c>
      <c r="W14" s="13">
        <f t="shared" si="0"/>
        <v>32537612.66</v>
      </c>
      <c r="X14" s="13">
        <v>339693.64</v>
      </c>
      <c r="Y14" s="13">
        <v>0</v>
      </c>
      <c r="Z14" s="13">
        <v>226357.31</v>
      </c>
      <c r="AA14" s="13">
        <v>0</v>
      </c>
      <c r="AB14" s="13">
        <f t="shared" si="2"/>
        <v>566050.94999999995</v>
      </c>
      <c r="AC14" s="13">
        <v>9025500.1799999997</v>
      </c>
      <c r="AD14" s="13">
        <v>16005589.17</v>
      </c>
      <c r="AE14" s="13">
        <v>2502387.02</v>
      </c>
      <c r="AF14" s="13">
        <f t="shared" si="3"/>
        <v>27533476.370000001</v>
      </c>
      <c r="AG14" s="13">
        <v>0</v>
      </c>
      <c r="AH14" s="13">
        <v>4126503.03</v>
      </c>
      <c r="AI14" s="14"/>
      <c r="AJ14" s="13">
        <f t="shared" si="7"/>
        <v>9387884.0899999999</v>
      </c>
      <c r="AK14" s="15">
        <f t="shared" si="4"/>
        <v>33103663.609999999</v>
      </c>
      <c r="AL14" s="19">
        <v>0</v>
      </c>
      <c r="AM14" s="8"/>
      <c r="AN14" s="13">
        <f t="shared" si="5"/>
        <v>74151527.100000009</v>
      </c>
    </row>
    <row r="15" spans="2:40" s="17" customFormat="1" x14ac:dyDescent="0.3">
      <c r="B15" s="29">
        <v>39783</v>
      </c>
      <c r="C15" s="13">
        <v>1265048.73</v>
      </c>
      <c r="D15" s="13">
        <v>0</v>
      </c>
      <c r="E15" s="13">
        <v>3570483</v>
      </c>
      <c r="F15" s="13">
        <v>330184.14999999997</v>
      </c>
      <c r="G15" s="13">
        <f t="shared" si="6"/>
        <v>5165715.8800000008</v>
      </c>
      <c r="H15" s="13">
        <v>3948781.48</v>
      </c>
      <c r="I15" s="13">
        <v>12345652.75</v>
      </c>
      <c r="J15" s="13">
        <v>1469717.24</v>
      </c>
      <c r="K15" s="13">
        <f t="shared" si="1"/>
        <v>22929867.349999998</v>
      </c>
      <c r="L15" s="13">
        <v>0</v>
      </c>
      <c r="M15" s="13">
        <v>0</v>
      </c>
      <c r="N15" s="13">
        <v>96039375.920000002</v>
      </c>
      <c r="O15" s="13">
        <v>2908074.36</v>
      </c>
      <c r="P15" s="13">
        <v>0</v>
      </c>
      <c r="Q15" s="13">
        <v>0</v>
      </c>
      <c r="R15" s="13">
        <v>446684.24</v>
      </c>
      <c r="S15" s="13">
        <v>0</v>
      </c>
      <c r="T15" s="13">
        <v>0</v>
      </c>
      <c r="U15" s="13">
        <v>0</v>
      </c>
      <c r="V15" s="13">
        <v>0</v>
      </c>
      <c r="W15" s="13">
        <f t="shared" si="0"/>
        <v>99394134.519999996</v>
      </c>
      <c r="X15" s="13">
        <v>231097.9</v>
      </c>
      <c r="Y15" s="13">
        <v>0</v>
      </c>
      <c r="Z15" s="13">
        <v>253567.42</v>
      </c>
      <c r="AA15" s="13">
        <v>0</v>
      </c>
      <c r="AB15" s="13">
        <f t="shared" si="2"/>
        <v>484665.32</v>
      </c>
      <c r="AC15" s="13">
        <v>-38083.279999999999</v>
      </c>
      <c r="AD15" s="13">
        <v>32010974.579999998</v>
      </c>
      <c r="AE15" s="13">
        <v>16528155.82</v>
      </c>
      <c r="AF15" s="13">
        <f t="shared" si="3"/>
        <v>48501047.119999997</v>
      </c>
      <c r="AG15" s="13">
        <v>1933460.39</v>
      </c>
      <c r="AH15" s="13">
        <f>51899063.01+48777999.88</f>
        <v>100677062.89</v>
      </c>
      <c r="AI15" s="14"/>
      <c r="AJ15" s="13">
        <f t="shared" si="7"/>
        <v>22929867.349999998</v>
      </c>
      <c r="AK15" s="15">
        <f>W15+AB15</f>
        <v>99878799.839999989</v>
      </c>
      <c r="AL15" s="19">
        <v>0</v>
      </c>
      <c r="AM15" s="8"/>
      <c r="AN15" s="13">
        <f t="shared" si="5"/>
        <v>273920237.58999997</v>
      </c>
    </row>
    <row r="16" spans="2:40" s="17" customFormat="1" x14ac:dyDescent="0.3">
      <c r="B16" s="12">
        <v>39814</v>
      </c>
      <c r="C16" s="13">
        <v>36249009.670000002</v>
      </c>
      <c r="D16" s="13">
        <v>0</v>
      </c>
      <c r="E16" s="13">
        <v>2381961</v>
      </c>
      <c r="F16" s="13">
        <v>254506.74</v>
      </c>
      <c r="G16" s="13">
        <f t="shared" si="6"/>
        <v>38885477.410000004</v>
      </c>
      <c r="H16" s="13">
        <v>4090875.2</v>
      </c>
      <c r="I16" s="13">
        <v>365276.45</v>
      </c>
      <c r="J16" s="13">
        <v>1850304.04</v>
      </c>
      <c r="K16" s="13">
        <f t="shared" si="1"/>
        <v>45191933.100000009</v>
      </c>
      <c r="L16" s="13">
        <v>0</v>
      </c>
      <c r="M16" s="13">
        <v>0</v>
      </c>
      <c r="N16" s="13">
        <v>58460147.340000004</v>
      </c>
      <c r="O16" s="13">
        <v>2584437.23</v>
      </c>
      <c r="P16" s="13">
        <v>0</v>
      </c>
      <c r="Q16" s="13">
        <v>0</v>
      </c>
      <c r="R16" s="13">
        <v>478932.51</v>
      </c>
      <c r="S16" s="13">
        <v>0</v>
      </c>
      <c r="T16" s="13">
        <v>0</v>
      </c>
      <c r="U16" s="13">
        <v>0</v>
      </c>
      <c r="V16" s="13">
        <v>0</v>
      </c>
      <c r="W16" s="13">
        <f t="shared" si="0"/>
        <v>61523517.079999998</v>
      </c>
      <c r="X16" s="13">
        <v>534664.5</v>
      </c>
      <c r="Y16" s="13">
        <v>0</v>
      </c>
      <c r="Z16" s="13">
        <v>243265.14</v>
      </c>
      <c r="AA16" s="13">
        <v>0</v>
      </c>
      <c r="AB16" s="13">
        <f t="shared" si="2"/>
        <v>777929.64</v>
      </c>
      <c r="AC16" s="13">
        <v>0</v>
      </c>
      <c r="AD16" s="13">
        <v>0</v>
      </c>
      <c r="AE16" s="13">
        <v>0</v>
      </c>
      <c r="AF16" s="13">
        <f t="shared" si="3"/>
        <v>0</v>
      </c>
      <c r="AG16" s="13">
        <v>5377239</v>
      </c>
      <c r="AH16" s="13">
        <v>0</v>
      </c>
      <c r="AI16" s="14"/>
      <c r="AJ16" s="13">
        <f t="shared" si="7"/>
        <v>45191933.100000009</v>
      </c>
      <c r="AK16" s="15">
        <f t="shared" si="4"/>
        <v>62301446.719999999</v>
      </c>
      <c r="AL16" s="19">
        <v>-1381493.88</v>
      </c>
      <c r="AM16" s="8"/>
      <c r="AN16" s="13">
        <f t="shared" si="5"/>
        <v>111489124.94000001</v>
      </c>
    </row>
    <row r="17" spans="2:40" s="17" customFormat="1" x14ac:dyDescent="0.3">
      <c r="B17" s="18">
        <v>39845</v>
      </c>
      <c r="C17" s="13">
        <v>7463429.1299999999</v>
      </c>
      <c r="D17" s="13">
        <v>0</v>
      </c>
      <c r="E17" s="13">
        <v>1566543.6</v>
      </c>
      <c r="F17" s="13">
        <v>803057.87</v>
      </c>
      <c r="G17" s="13">
        <f t="shared" si="6"/>
        <v>9833030.5999999996</v>
      </c>
      <c r="H17" s="13">
        <v>3934889.07</v>
      </c>
      <c r="I17" s="13">
        <v>2158302.65</v>
      </c>
      <c r="J17" s="13">
        <v>1514032.15</v>
      </c>
      <c r="K17" s="13">
        <f t="shared" si="1"/>
        <v>17440254.469999999</v>
      </c>
      <c r="L17" s="13">
        <v>0</v>
      </c>
      <c r="M17" s="13">
        <v>0</v>
      </c>
      <c r="N17" s="13">
        <v>48478210.200000003</v>
      </c>
      <c r="O17" s="13">
        <v>1643167.4</v>
      </c>
      <c r="P17" s="13">
        <v>0</v>
      </c>
      <c r="Q17" s="13">
        <v>0</v>
      </c>
      <c r="R17" s="13">
        <v>552631.55000000005</v>
      </c>
      <c r="S17" s="13">
        <v>0</v>
      </c>
      <c r="T17" s="13">
        <v>0</v>
      </c>
      <c r="U17" s="13">
        <v>0</v>
      </c>
      <c r="V17" s="13">
        <v>0</v>
      </c>
      <c r="W17" s="13">
        <f t="shared" si="0"/>
        <v>50674009.149999999</v>
      </c>
      <c r="X17" s="13">
        <v>3751186.3</v>
      </c>
      <c r="Y17" s="13">
        <v>0</v>
      </c>
      <c r="Z17" s="13">
        <v>275918.07</v>
      </c>
      <c r="AA17" s="13">
        <v>0</v>
      </c>
      <c r="AB17" s="13">
        <f t="shared" si="2"/>
        <v>4027104.3699999996</v>
      </c>
      <c r="AC17" s="13">
        <v>9589505.0999999996</v>
      </c>
      <c r="AD17" s="13">
        <v>16696977</v>
      </c>
      <c r="AE17" s="13">
        <v>38703677.030000001</v>
      </c>
      <c r="AF17" s="13">
        <f t="shared" si="3"/>
        <v>64990159.130000003</v>
      </c>
      <c r="AG17" s="13">
        <v>0</v>
      </c>
      <c r="AH17" s="13">
        <v>0</v>
      </c>
      <c r="AI17" s="14"/>
      <c r="AJ17" s="13">
        <f t="shared" si="7"/>
        <v>17440254.469999999</v>
      </c>
      <c r="AK17" s="15">
        <f t="shared" si="4"/>
        <v>54701113.519999996</v>
      </c>
      <c r="AL17" s="19">
        <v>0</v>
      </c>
      <c r="AM17" s="8"/>
      <c r="AN17" s="13">
        <f t="shared" si="5"/>
        <v>137131527.12</v>
      </c>
    </row>
    <row r="18" spans="2:40" s="17" customFormat="1" x14ac:dyDescent="0.3">
      <c r="B18" s="20">
        <v>39873</v>
      </c>
      <c r="C18" s="13">
        <v>5041429.97</v>
      </c>
      <c r="D18" s="13">
        <v>0</v>
      </c>
      <c r="E18" s="13">
        <v>2387926</v>
      </c>
      <c r="F18" s="13">
        <v>958928.02</v>
      </c>
      <c r="G18" s="13">
        <f t="shared" si="6"/>
        <v>8388283.9900000002</v>
      </c>
      <c r="H18" s="13">
        <v>3676325.55</v>
      </c>
      <c r="I18" s="13">
        <v>745585.53</v>
      </c>
      <c r="J18" s="13">
        <v>1666460.21</v>
      </c>
      <c r="K18" s="13">
        <f t="shared" si="1"/>
        <v>14476655.279999997</v>
      </c>
      <c r="L18" s="13">
        <v>0</v>
      </c>
      <c r="M18" s="13">
        <v>0</v>
      </c>
      <c r="N18" s="13">
        <v>58874195.079999998</v>
      </c>
      <c r="O18" s="13">
        <v>2802986.87</v>
      </c>
      <c r="P18" s="13">
        <v>0</v>
      </c>
      <c r="Q18" s="13">
        <v>0</v>
      </c>
      <c r="R18" s="13">
        <v>307351.42</v>
      </c>
      <c r="S18" s="13">
        <v>0</v>
      </c>
      <c r="T18" s="13">
        <v>0</v>
      </c>
      <c r="U18" s="13">
        <v>0</v>
      </c>
      <c r="V18" s="13">
        <v>0</v>
      </c>
      <c r="W18" s="13">
        <f t="shared" si="0"/>
        <v>61984533.369999997</v>
      </c>
      <c r="X18" s="13">
        <v>1376379.88</v>
      </c>
      <c r="Y18" s="13">
        <v>0</v>
      </c>
      <c r="Z18" s="13">
        <v>249340.72</v>
      </c>
      <c r="AA18" s="13">
        <v>0</v>
      </c>
      <c r="AB18" s="13">
        <f t="shared" si="2"/>
        <v>1625720.5999999999</v>
      </c>
      <c r="AC18" s="13">
        <v>9589505.0999999996</v>
      </c>
      <c r="AD18" s="13">
        <v>16696977</v>
      </c>
      <c r="AE18" s="13">
        <v>0</v>
      </c>
      <c r="AF18" s="13">
        <f t="shared" si="3"/>
        <v>26286482.100000001</v>
      </c>
      <c r="AG18" s="13">
        <v>0</v>
      </c>
      <c r="AH18" s="13">
        <v>928925.84</v>
      </c>
      <c r="AI18" s="14"/>
      <c r="AJ18" s="13">
        <f t="shared" si="7"/>
        <v>14476655.279999997</v>
      </c>
      <c r="AK18" s="15">
        <f t="shared" si="4"/>
        <v>63610253.969999999</v>
      </c>
      <c r="AL18" s="19">
        <v>-978654.13</v>
      </c>
      <c r="AM18" s="8"/>
      <c r="AN18" s="13">
        <f t="shared" si="5"/>
        <v>104323663.06</v>
      </c>
    </row>
    <row r="19" spans="2:40" s="17" customFormat="1" x14ac:dyDescent="0.3">
      <c r="B19" s="21">
        <v>39904</v>
      </c>
      <c r="C19" s="13">
        <v>2000333.04</v>
      </c>
      <c r="D19" s="13">
        <v>0</v>
      </c>
      <c r="E19" s="13">
        <v>2219818.34</v>
      </c>
      <c r="F19" s="13">
        <v>21934.6</v>
      </c>
      <c r="G19" s="13">
        <f t="shared" si="6"/>
        <v>4242085.9799999995</v>
      </c>
      <c r="H19" s="13">
        <v>3178320.69</v>
      </c>
      <c r="I19" s="13">
        <v>2001648.6399999999</v>
      </c>
      <c r="J19" s="13">
        <v>1312876</v>
      </c>
      <c r="K19" s="13">
        <f t="shared" si="1"/>
        <v>10734931.310000001</v>
      </c>
      <c r="L19" s="13">
        <v>0</v>
      </c>
      <c r="M19" s="13">
        <v>0</v>
      </c>
      <c r="N19" s="13">
        <v>63355111.640000001</v>
      </c>
      <c r="O19" s="13">
        <v>6526907.5300000003</v>
      </c>
      <c r="P19" s="13">
        <v>0</v>
      </c>
      <c r="Q19" s="13">
        <v>0</v>
      </c>
      <c r="R19" s="13">
        <v>290484.44</v>
      </c>
      <c r="S19" s="13">
        <v>0</v>
      </c>
      <c r="T19" s="13">
        <v>0</v>
      </c>
      <c r="U19" s="13">
        <v>0</v>
      </c>
      <c r="V19" s="13">
        <v>0</v>
      </c>
      <c r="W19" s="13">
        <f t="shared" si="0"/>
        <v>70172503.609999999</v>
      </c>
      <c r="X19" s="13">
        <v>2050819</v>
      </c>
      <c r="Y19" s="13">
        <v>0</v>
      </c>
      <c r="Z19" s="13">
        <v>218182.44</v>
      </c>
      <c r="AA19" s="13">
        <v>0</v>
      </c>
      <c r="AB19" s="13">
        <f t="shared" si="2"/>
        <v>2269001.44</v>
      </c>
      <c r="AC19" s="13">
        <v>9589505.0999999996</v>
      </c>
      <c r="AD19" s="13">
        <v>16696977</v>
      </c>
      <c r="AE19" s="13">
        <f>7216213.3</f>
        <v>7216213.2999999998</v>
      </c>
      <c r="AF19" s="13">
        <f t="shared" si="3"/>
        <v>33502695.400000002</v>
      </c>
      <c r="AG19" s="13">
        <v>0</v>
      </c>
      <c r="AH19" s="13">
        <v>20952247.210000001</v>
      </c>
      <c r="AI19" s="14"/>
      <c r="AJ19" s="13">
        <f t="shared" si="7"/>
        <v>10734931.310000001</v>
      </c>
      <c r="AK19" s="15">
        <f t="shared" si="4"/>
        <v>72441505.049999997</v>
      </c>
      <c r="AL19" s="19">
        <v>-12370.72</v>
      </c>
      <c r="AM19" s="8"/>
      <c r="AN19" s="13">
        <f t="shared" si="5"/>
        <v>137619008.25</v>
      </c>
    </row>
    <row r="20" spans="2:40" s="17" customFormat="1" x14ac:dyDescent="0.3">
      <c r="B20" s="22">
        <v>39934</v>
      </c>
      <c r="C20" s="13">
        <v>1509300.76</v>
      </c>
      <c r="D20" s="13">
        <v>0</v>
      </c>
      <c r="E20" s="13">
        <v>2333652.2000000002</v>
      </c>
      <c r="F20" s="13">
        <v>656411.14</v>
      </c>
      <c r="G20" s="13">
        <f t="shared" si="6"/>
        <v>4499364.0999999996</v>
      </c>
      <c r="H20" s="13">
        <v>2933757.93</v>
      </c>
      <c r="I20" s="13">
        <v>725855.74</v>
      </c>
      <c r="J20" s="13">
        <v>1511515.35</v>
      </c>
      <c r="K20" s="13">
        <f t="shared" si="1"/>
        <v>9670493.1199999992</v>
      </c>
      <c r="L20" s="13">
        <v>0</v>
      </c>
      <c r="M20" s="13">
        <v>0</v>
      </c>
      <c r="N20" s="13">
        <v>33617963.07</v>
      </c>
      <c r="O20" s="13">
        <v>3008505.33</v>
      </c>
      <c r="P20" s="13">
        <v>0</v>
      </c>
      <c r="Q20" s="13">
        <v>0</v>
      </c>
      <c r="R20" s="13">
        <v>357484.95</v>
      </c>
      <c r="S20" s="13">
        <v>0</v>
      </c>
      <c r="T20" s="13">
        <v>0</v>
      </c>
      <c r="U20" s="13">
        <v>0</v>
      </c>
      <c r="V20" s="13">
        <v>0</v>
      </c>
      <c r="W20" s="13">
        <f t="shared" si="0"/>
        <v>36983953.350000001</v>
      </c>
      <c r="X20" s="13">
        <v>535590.56000000006</v>
      </c>
      <c r="Y20" s="13">
        <v>0</v>
      </c>
      <c r="Z20" s="13">
        <v>217422.98</v>
      </c>
      <c r="AA20" s="13">
        <v>0</v>
      </c>
      <c r="AB20" s="13">
        <f t="shared" si="2"/>
        <v>753013.54</v>
      </c>
      <c r="AC20" s="13">
        <v>9589505.0999999996</v>
      </c>
      <c r="AD20" s="13">
        <v>16696977</v>
      </c>
      <c r="AE20" s="13">
        <v>0</v>
      </c>
      <c r="AF20" s="13">
        <f t="shared" si="3"/>
        <v>26286482.100000001</v>
      </c>
      <c r="AG20" s="13">
        <v>0</v>
      </c>
      <c r="AH20" s="13">
        <v>837730.17</v>
      </c>
      <c r="AI20" s="14"/>
      <c r="AJ20" s="13">
        <f t="shared" si="7"/>
        <v>9670493.1199999992</v>
      </c>
      <c r="AK20" s="15">
        <f t="shared" si="4"/>
        <v>37736966.890000001</v>
      </c>
      <c r="AL20" s="19">
        <v>-757</v>
      </c>
      <c r="AM20" s="8"/>
      <c r="AN20" s="13">
        <f t="shared" si="5"/>
        <v>74530915.280000001</v>
      </c>
    </row>
    <row r="21" spans="2:40" s="17" customFormat="1" x14ac:dyDescent="0.3">
      <c r="B21" s="23">
        <v>39965</v>
      </c>
      <c r="C21" s="13">
        <v>1404663.22</v>
      </c>
      <c r="D21" s="13">
        <v>0</v>
      </c>
      <c r="E21" s="13">
        <v>3467027.81</v>
      </c>
      <c r="F21" s="13">
        <v>519832.87</v>
      </c>
      <c r="G21" s="13">
        <f t="shared" si="6"/>
        <v>5391523.9000000004</v>
      </c>
      <c r="H21" s="13">
        <v>4025606.71</v>
      </c>
      <c r="I21" s="13">
        <v>2013191.58</v>
      </c>
      <c r="J21" s="13">
        <v>1603502.0800000001</v>
      </c>
      <c r="K21" s="13">
        <f t="shared" si="1"/>
        <v>13033824.27</v>
      </c>
      <c r="L21" s="13">
        <v>0</v>
      </c>
      <c r="M21" s="13">
        <v>0</v>
      </c>
      <c r="N21" s="13">
        <v>29112775.899999999</v>
      </c>
      <c r="O21" s="13">
        <v>2501621.73</v>
      </c>
      <c r="P21" s="13">
        <v>0</v>
      </c>
      <c r="Q21" s="13">
        <v>0</v>
      </c>
      <c r="R21" s="13">
        <v>171663.74</v>
      </c>
      <c r="S21" s="13">
        <v>0</v>
      </c>
      <c r="T21" s="13">
        <v>0</v>
      </c>
      <c r="U21" s="13">
        <v>0</v>
      </c>
      <c r="V21" s="13">
        <v>0</v>
      </c>
      <c r="W21" s="13">
        <f t="shared" si="0"/>
        <v>31786061.369999997</v>
      </c>
      <c r="X21" s="13">
        <v>3539007.18</v>
      </c>
      <c r="Y21" s="13">
        <v>0</v>
      </c>
      <c r="Z21" s="13">
        <v>205820.69</v>
      </c>
      <c r="AA21" s="13">
        <v>0</v>
      </c>
      <c r="AB21" s="13">
        <f t="shared" si="2"/>
        <v>3744827.87</v>
      </c>
      <c r="AC21" s="13">
        <v>9589505.0999999996</v>
      </c>
      <c r="AD21" s="13">
        <v>23154025.199999999</v>
      </c>
      <c r="AE21" s="13">
        <v>0</v>
      </c>
      <c r="AF21" s="13">
        <f t="shared" si="3"/>
        <v>32743530.299999997</v>
      </c>
      <c r="AG21" s="13">
        <v>0</v>
      </c>
      <c r="AH21" s="13">
        <v>863249.93</v>
      </c>
      <c r="AI21" s="14"/>
      <c r="AJ21" s="13">
        <f t="shared" si="7"/>
        <v>13033824.27</v>
      </c>
      <c r="AK21" s="15">
        <f t="shared" si="4"/>
        <v>35530889.239999995</v>
      </c>
      <c r="AL21" s="19">
        <v>0</v>
      </c>
      <c r="AM21" s="8"/>
      <c r="AN21" s="13">
        <f t="shared" si="5"/>
        <v>82171493.739999995</v>
      </c>
    </row>
    <row r="22" spans="2:40" s="17" customFormat="1" x14ac:dyDescent="0.3">
      <c r="B22" s="24">
        <v>39995</v>
      </c>
      <c r="C22" s="13">
        <v>1966997.21</v>
      </c>
      <c r="D22" s="13">
        <v>0</v>
      </c>
      <c r="E22" s="13">
        <v>3149418.92</v>
      </c>
      <c r="F22" s="13">
        <v>152342.76</v>
      </c>
      <c r="G22" s="13">
        <f t="shared" si="6"/>
        <v>5268758.8899999997</v>
      </c>
      <c r="H22" s="13">
        <v>3207370.51</v>
      </c>
      <c r="I22" s="13">
        <v>1371651.55</v>
      </c>
      <c r="J22" s="13">
        <v>1899972.35</v>
      </c>
      <c r="K22" s="13">
        <f t="shared" si="1"/>
        <v>11747753.299999999</v>
      </c>
      <c r="L22" s="13">
        <v>0</v>
      </c>
      <c r="M22" s="13">
        <v>0</v>
      </c>
      <c r="N22" s="13">
        <v>43772421.049999997</v>
      </c>
      <c r="O22" s="13">
        <v>3930018.03</v>
      </c>
      <c r="P22" s="13">
        <v>0</v>
      </c>
      <c r="Q22" s="13">
        <v>0</v>
      </c>
      <c r="R22" s="13">
        <v>417258.33</v>
      </c>
      <c r="S22" s="13">
        <v>0</v>
      </c>
      <c r="T22" s="13">
        <v>0</v>
      </c>
      <c r="U22" s="13">
        <v>0</v>
      </c>
      <c r="V22" s="13">
        <v>0</v>
      </c>
      <c r="W22" s="13">
        <f t="shared" si="0"/>
        <v>48119697.409999996</v>
      </c>
      <c r="X22" s="13">
        <v>399516.23</v>
      </c>
      <c r="Y22" s="13">
        <v>0</v>
      </c>
      <c r="Z22" s="13">
        <v>227377.65</v>
      </c>
      <c r="AA22" s="13">
        <v>0</v>
      </c>
      <c r="AB22" s="13">
        <f t="shared" si="2"/>
        <v>626893.88</v>
      </c>
      <c r="AC22" s="13">
        <v>9589505.0999999996</v>
      </c>
      <c r="AD22" s="13">
        <v>16696977</v>
      </c>
      <c r="AE22" s="13">
        <f>39419397.47</f>
        <v>39419397.469999999</v>
      </c>
      <c r="AF22" s="13">
        <f t="shared" si="3"/>
        <v>65705879.57</v>
      </c>
      <c r="AG22" s="13">
        <v>0</v>
      </c>
      <c r="AH22" s="13">
        <v>2374128.1</v>
      </c>
      <c r="AI22" s="14"/>
      <c r="AJ22" s="13">
        <f t="shared" si="7"/>
        <v>11747753.299999999</v>
      </c>
      <c r="AK22" s="15">
        <f t="shared" si="4"/>
        <v>48746591.289999999</v>
      </c>
      <c r="AL22" s="19">
        <v>-2505.6</v>
      </c>
      <c r="AM22" s="8"/>
      <c r="AN22" s="13">
        <f t="shared" si="5"/>
        <v>128571846.66</v>
      </c>
    </row>
    <row r="23" spans="2:40" s="17" customFormat="1" x14ac:dyDescent="0.3">
      <c r="B23" s="25">
        <v>40026</v>
      </c>
      <c r="C23" s="13">
        <v>1470415.6</v>
      </c>
      <c r="D23" s="13">
        <v>0</v>
      </c>
      <c r="E23" s="13">
        <v>2512050.66</v>
      </c>
      <c r="F23" s="13">
        <v>686669.95000000007</v>
      </c>
      <c r="G23" s="13">
        <f t="shared" si="6"/>
        <v>4669136.21</v>
      </c>
      <c r="H23" s="13">
        <v>3031324.21</v>
      </c>
      <c r="I23" s="13">
        <v>616160.43000000005</v>
      </c>
      <c r="J23" s="13">
        <v>1710137.61</v>
      </c>
      <c r="K23" s="13">
        <f t="shared" si="1"/>
        <v>10026758.459999999</v>
      </c>
      <c r="L23" s="13">
        <v>0</v>
      </c>
      <c r="M23" s="13">
        <v>0</v>
      </c>
      <c r="N23" s="13">
        <v>37820562.659999996</v>
      </c>
      <c r="O23" s="13">
        <v>3174738.67</v>
      </c>
      <c r="P23" s="13">
        <v>0</v>
      </c>
      <c r="Q23" s="13">
        <v>0</v>
      </c>
      <c r="R23" s="13">
        <v>456069.47</v>
      </c>
      <c r="S23" s="13">
        <v>0</v>
      </c>
      <c r="T23" s="13">
        <v>0</v>
      </c>
      <c r="U23" s="13">
        <v>0</v>
      </c>
      <c r="V23" s="13">
        <v>0</v>
      </c>
      <c r="W23" s="13">
        <f t="shared" si="0"/>
        <v>41451370.799999997</v>
      </c>
      <c r="X23" s="13">
        <v>389124.54</v>
      </c>
      <c r="Y23" s="13">
        <v>0</v>
      </c>
      <c r="Z23" s="13">
        <v>196910.42</v>
      </c>
      <c r="AA23" s="13">
        <v>0</v>
      </c>
      <c r="AB23" s="13">
        <f t="shared" si="2"/>
        <v>586034.96</v>
      </c>
      <c r="AC23" s="13">
        <v>9589505.0999999996</v>
      </c>
      <c r="AD23" s="13">
        <v>16696977</v>
      </c>
      <c r="AE23" s="13">
        <v>0</v>
      </c>
      <c r="AF23" s="13">
        <f t="shared" si="3"/>
        <v>26286482.100000001</v>
      </c>
      <c r="AG23" s="13">
        <v>0</v>
      </c>
      <c r="AH23" s="13">
        <v>9672392.4100000001</v>
      </c>
      <c r="AI23" s="14"/>
      <c r="AJ23" s="13">
        <f t="shared" si="7"/>
        <v>10026758.459999999</v>
      </c>
      <c r="AK23" s="15">
        <f t="shared" si="4"/>
        <v>42037405.759999998</v>
      </c>
      <c r="AL23" s="19">
        <v>-87213.26</v>
      </c>
      <c r="AM23" s="8"/>
      <c r="AN23" s="13">
        <f t="shared" si="5"/>
        <v>87935825.469999984</v>
      </c>
    </row>
    <row r="24" spans="2:40" s="17" customFormat="1" x14ac:dyDescent="0.3">
      <c r="B24" s="26">
        <v>40057</v>
      </c>
      <c r="C24" s="13">
        <v>1728783.31</v>
      </c>
      <c r="D24" s="13">
        <v>0</v>
      </c>
      <c r="E24" s="13">
        <v>5742948.5700000003</v>
      </c>
      <c r="F24" s="13">
        <v>189278.22999999998</v>
      </c>
      <c r="G24" s="13">
        <f t="shared" si="6"/>
        <v>7661010.1100000013</v>
      </c>
      <c r="H24" s="13">
        <v>2989720.89</v>
      </c>
      <c r="I24" s="13">
        <v>1052653.9099999999</v>
      </c>
      <c r="J24" s="13">
        <v>9478493.8100000005</v>
      </c>
      <c r="K24" s="13">
        <f t="shared" si="1"/>
        <v>21181878.720000003</v>
      </c>
      <c r="L24" s="13">
        <v>0</v>
      </c>
      <c r="M24" s="13">
        <v>0</v>
      </c>
      <c r="N24" s="13">
        <v>50839009.43</v>
      </c>
      <c r="O24" s="13">
        <v>6285591.4000000004</v>
      </c>
      <c r="P24" s="13">
        <v>0</v>
      </c>
      <c r="Q24" s="13">
        <v>0</v>
      </c>
      <c r="R24" s="13">
        <v>432558.63</v>
      </c>
      <c r="S24" s="13">
        <v>0</v>
      </c>
      <c r="T24" s="13">
        <v>0</v>
      </c>
      <c r="U24" s="13">
        <v>0</v>
      </c>
      <c r="V24" s="13">
        <v>0</v>
      </c>
      <c r="W24" s="13">
        <f t="shared" si="0"/>
        <v>57557159.460000001</v>
      </c>
      <c r="X24" s="13">
        <v>439391.49</v>
      </c>
      <c r="Y24" s="13">
        <v>0</v>
      </c>
      <c r="Z24" s="13">
        <v>237453.51</v>
      </c>
      <c r="AA24" s="13">
        <v>0</v>
      </c>
      <c r="AB24" s="13">
        <f t="shared" si="2"/>
        <v>676845</v>
      </c>
      <c r="AC24" s="13">
        <v>9589505.0999999996</v>
      </c>
      <c r="AD24" s="13">
        <v>16696977</v>
      </c>
      <c r="AE24" s="13">
        <f>18002121.82</f>
        <v>18002121.82</v>
      </c>
      <c r="AF24" s="13">
        <f t="shared" si="3"/>
        <v>44288603.920000002</v>
      </c>
      <c r="AG24" s="13">
        <v>0</v>
      </c>
      <c r="AH24" s="13">
        <v>7704747.5499999998</v>
      </c>
      <c r="AI24" s="14"/>
      <c r="AJ24" s="13">
        <f t="shared" si="7"/>
        <v>21181878.720000003</v>
      </c>
      <c r="AK24" s="15">
        <f t="shared" si="4"/>
        <v>58234004.460000001</v>
      </c>
      <c r="AL24" s="19">
        <v>-79523</v>
      </c>
      <c r="AM24" s="8"/>
      <c r="AN24" s="13">
        <f t="shared" si="5"/>
        <v>131329711.65000001</v>
      </c>
    </row>
    <row r="25" spans="2:40" s="17" customFormat="1" x14ac:dyDescent="0.3">
      <c r="B25" s="27">
        <v>40087</v>
      </c>
      <c r="C25" s="13">
        <v>1343288.31</v>
      </c>
      <c r="D25" s="13">
        <v>0</v>
      </c>
      <c r="E25" s="13">
        <v>3648019.63</v>
      </c>
      <c r="F25" s="13">
        <v>139905.13</v>
      </c>
      <c r="G25" s="13">
        <f t="shared" si="6"/>
        <v>5131213.0699999994</v>
      </c>
      <c r="H25" s="13">
        <v>4104305.32</v>
      </c>
      <c r="I25" s="13">
        <v>260271.62</v>
      </c>
      <c r="J25" s="13">
        <v>1738486.98</v>
      </c>
      <c r="K25" s="13">
        <f t="shared" si="1"/>
        <v>11234276.989999998</v>
      </c>
      <c r="L25" s="13">
        <v>0</v>
      </c>
      <c r="M25" s="13">
        <v>0</v>
      </c>
      <c r="N25" s="13">
        <v>53693599.280000001</v>
      </c>
      <c r="O25" s="13">
        <v>2702969.72</v>
      </c>
      <c r="P25" s="13">
        <v>0</v>
      </c>
      <c r="Q25" s="13">
        <v>0</v>
      </c>
      <c r="R25" s="13">
        <v>430641.64</v>
      </c>
      <c r="S25" s="13">
        <v>0</v>
      </c>
      <c r="T25" s="13">
        <v>0</v>
      </c>
      <c r="U25" s="13">
        <v>0</v>
      </c>
      <c r="V25" s="13">
        <v>0</v>
      </c>
      <c r="W25" s="13">
        <f t="shared" si="0"/>
        <v>56827210.640000001</v>
      </c>
      <c r="X25" s="13">
        <v>637208.53</v>
      </c>
      <c r="Y25" s="13">
        <v>0</v>
      </c>
      <c r="Z25" s="13">
        <v>200160.45</v>
      </c>
      <c r="AA25" s="13">
        <v>0</v>
      </c>
      <c r="AB25" s="13">
        <f t="shared" si="2"/>
        <v>837368.98</v>
      </c>
      <c r="AC25" s="13">
        <v>9589505.0999999996</v>
      </c>
      <c r="AD25" s="13">
        <v>16696977</v>
      </c>
      <c r="AE25" s="13">
        <f>7121594.82</f>
        <v>7121594.8200000003</v>
      </c>
      <c r="AF25" s="13">
        <f t="shared" si="3"/>
        <v>33408076.920000002</v>
      </c>
      <c r="AG25" s="13">
        <v>0</v>
      </c>
      <c r="AH25" s="13">
        <v>1174330.72</v>
      </c>
      <c r="AI25" s="14"/>
      <c r="AJ25" s="13">
        <f t="shared" si="7"/>
        <v>11234276.989999998</v>
      </c>
      <c r="AK25" s="15">
        <f t="shared" si="4"/>
        <v>57664579.619999997</v>
      </c>
      <c r="AL25" s="19">
        <v>0</v>
      </c>
      <c r="AM25" s="8"/>
      <c r="AN25" s="13">
        <f t="shared" si="5"/>
        <v>103481264.25</v>
      </c>
    </row>
    <row r="26" spans="2:40" s="17" customFormat="1" x14ac:dyDescent="0.3">
      <c r="B26" s="28">
        <v>40118</v>
      </c>
      <c r="C26" s="13">
        <v>1191551.78</v>
      </c>
      <c r="D26" s="13">
        <v>0</v>
      </c>
      <c r="E26" s="13">
        <v>3504044.95</v>
      </c>
      <c r="F26" s="13">
        <v>712306.4</v>
      </c>
      <c r="G26" s="13">
        <f t="shared" si="6"/>
        <v>5407903.1300000008</v>
      </c>
      <c r="H26" s="13">
        <v>2945505.44</v>
      </c>
      <c r="I26" s="13">
        <v>1118528.52</v>
      </c>
      <c r="J26" s="13">
        <v>20276379.57</v>
      </c>
      <c r="K26" s="13">
        <f t="shared" si="1"/>
        <v>29748316.66</v>
      </c>
      <c r="L26" s="13">
        <v>0</v>
      </c>
      <c r="M26" s="13">
        <v>0</v>
      </c>
      <c r="N26" s="13">
        <v>40558350.939999998</v>
      </c>
      <c r="O26" s="13">
        <v>2005655.06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f t="shared" si="0"/>
        <v>42564006</v>
      </c>
      <c r="X26" s="13">
        <v>322093.84999999998</v>
      </c>
      <c r="Y26" s="13">
        <v>0</v>
      </c>
      <c r="Z26" s="13">
        <v>246795.42</v>
      </c>
      <c r="AA26" s="13">
        <v>225000</v>
      </c>
      <c r="AB26" s="13">
        <f t="shared" si="2"/>
        <v>793889.27</v>
      </c>
      <c r="AC26" s="13">
        <v>9589508.0999999996</v>
      </c>
      <c r="AD26" s="13">
        <v>16696977</v>
      </c>
      <c r="AE26" s="13">
        <f>14418250.17</f>
        <v>14418250.17</v>
      </c>
      <c r="AF26" s="13">
        <f t="shared" si="3"/>
        <v>40704735.270000003</v>
      </c>
      <c r="AG26" s="13">
        <v>0</v>
      </c>
      <c r="AH26" s="13">
        <v>10311663.039999999</v>
      </c>
      <c r="AI26" s="14"/>
      <c r="AJ26" s="13">
        <f t="shared" si="7"/>
        <v>29748316.66</v>
      </c>
      <c r="AK26" s="15">
        <f t="shared" si="4"/>
        <v>43357895.270000003</v>
      </c>
      <c r="AL26" s="19">
        <v>0</v>
      </c>
      <c r="AM26" s="8"/>
      <c r="AN26" s="13">
        <f t="shared" si="5"/>
        <v>124122610.24000001</v>
      </c>
    </row>
    <row r="27" spans="2:40" s="17" customFormat="1" x14ac:dyDescent="0.3">
      <c r="B27" s="29">
        <v>40148</v>
      </c>
      <c r="C27" s="13">
        <v>1504632.95</v>
      </c>
      <c r="D27" s="13">
        <v>0</v>
      </c>
      <c r="E27" s="13">
        <v>6240500.9800000004</v>
      </c>
      <c r="F27" s="13">
        <v>752137.8</v>
      </c>
      <c r="G27" s="13">
        <f t="shared" si="6"/>
        <v>8497271.7300000004</v>
      </c>
      <c r="H27" s="13">
        <v>5421596.3799999999</v>
      </c>
      <c r="I27" s="13">
        <v>9810309.4600000009</v>
      </c>
      <c r="J27" s="13">
        <v>7618055.0700000003</v>
      </c>
      <c r="K27" s="13">
        <f t="shared" si="1"/>
        <v>31347232.640000001</v>
      </c>
      <c r="L27" s="13">
        <v>0</v>
      </c>
      <c r="M27" s="13">
        <v>0</v>
      </c>
      <c r="N27" s="13">
        <v>81970038.200000003</v>
      </c>
      <c r="O27" s="13">
        <v>8473117.4299999997</v>
      </c>
      <c r="P27" s="13">
        <v>0</v>
      </c>
      <c r="Q27" s="13">
        <v>0</v>
      </c>
      <c r="R27" s="13">
        <v>754933.81</v>
      </c>
      <c r="S27" s="13">
        <v>0</v>
      </c>
      <c r="T27" s="13">
        <v>0</v>
      </c>
      <c r="U27" s="13">
        <v>0</v>
      </c>
      <c r="V27" s="13">
        <v>0</v>
      </c>
      <c r="W27" s="13">
        <f t="shared" si="0"/>
        <v>91198089.439999998</v>
      </c>
      <c r="X27" s="13">
        <v>370336.95</v>
      </c>
      <c r="Y27" s="13">
        <v>0</v>
      </c>
      <c r="Z27" s="13">
        <v>255430.13</v>
      </c>
      <c r="AA27" s="13">
        <v>333934</v>
      </c>
      <c r="AB27" s="13">
        <f t="shared" si="2"/>
        <v>959701.08000000007</v>
      </c>
      <c r="AC27" s="13">
        <v>0</v>
      </c>
      <c r="AD27" s="13">
        <v>26936901.800000001</v>
      </c>
      <c r="AE27" s="13">
        <f>24670112.81</f>
        <v>24670112.809999999</v>
      </c>
      <c r="AF27" s="13">
        <f t="shared" si="3"/>
        <v>51607014.609999999</v>
      </c>
      <c r="AG27" s="13">
        <v>0</v>
      </c>
      <c r="AH27" s="13">
        <v>46476393.450000003</v>
      </c>
      <c r="AI27" s="14"/>
      <c r="AJ27" s="13">
        <f t="shared" si="7"/>
        <v>31347232.640000001</v>
      </c>
      <c r="AK27" s="15">
        <f t="shared" si="4"/>
        <v>92157790.519999996</v>
      </c>
      <c r="AL27" s="19">
        <v>0</v>
      </c>
      <c r="AM27" s="8"/>
      <c r="AN27" s="13">
        <f t="shared" si="5"/>
        <v>221588431.21999997</v>
      </c>
    </row>
    <row r="28" spans="2:40" s="17" customFormat="1" x14ac:dyDescent="0.3">
      <c r="B28" s="12">
        <v>40179</v>
      </c>
      <c r="C28" s="13">
        <v>47956327.310000002</v>
      </c>
      <c r="D28" s="13">
        <v>0</v>
      </c>
      <c r="E28" s="13">
        <v>1405667.56</v>
      </c>
      <c r="F28" s="13">
        <v>42557.599999999999</v>
      </c>
      <c r="G28" s="13">
        <f t="shared" si="6"/>
        <v>49404552.470000006</v>
      </c>
      <c r="H28" s="13">
        <v>4657155.2300000004</v>
      </c>
      <c r="I28" s="13">
        <v>709934.69</v>
      </c>
      <c r="J28" s="13">
        <v>5612016.2599999998</v>
      </c>
      <c r="K28" s="13">
        <f t="shared" si="1"/>
        <v>60383658.649999999</v>
      </c>
      <c r="L28" s="13">
        <v>0</v>
      </c>
      <c r="M28" s="13">
        <v>0</v>
      </c>
      <c r="N28" s="13">
        <v>50510334.079999998</v>
      </c>
      <c r="O28" s="13">
        <v>3242179.58</v>
      </c>
      <c r="P28" s="13">
        <v>13135.94</v>
      </c>
      <c r="Q28" s="13">
        <v>0</v>
      </c>
      <c r="R28" s="13">
        <v>379464.04</v>
      </c>
      <c r="S28" s="13">
        <v>0</v>
      </c>
      <c r="T28" s="13">
        <v>0</v>
      </c>
      <c r="U28" s="13">
        <v>0</v>
      </c>
      <c r="V28" s="13">
        <v>0</v>
      </c>
      <c r="W28" s="13">
        <f t="shared" si="0"/>
        <v>54145113.639999993</v>
      </c>
      <c r="X28" s="13">
        <v>0</v>
      </c>
      <c r="Y28" s="13">
        <v>0</v>
      </c>
      <c r="Z28" s="13">
        <v>0</v>
      </c>
      <c r="AA28" s="13">
        <v>0</v>
      </c>
      <c r="AB28" s="13">
        <f t="shared" si="2"/>
        <v>0</v>
      </c>
      <c r="AC28" s="13">
        <v>0</v>
      </c>
      <c r="AD28" s="13">
        <v>126634.34</v>
      </c>
      <c r="AE28" s="13">
        <v>0</v>
      </c>
      <c r="AF28" s="13">
        <f t="shared" si="3"/>
        <v>126634.34</v>
      </c>
      <c r="AG28" s="13">
        <v>0</v>
      </c>
      <c r="AH28" s="13">
        <v>7000000</v>
      </c>
      <c r="AI28" s="14"/>
      <c r="AJ28" s="13">
        <f t="shared" si="7"/>
        <v>60383658.649999999</v>
      </c>
      <c r="AK28" s="15">
        <f t="shared" si="4"/>
        <v>54145113.639999993</v>
      </c>
      <c r="AL28" s="19">
        <v>-8101.02</v>
      </c>
      <c r="AM28" s="8"/>
      <c r="AN28" s="13">
        <f t="shared" si="5"/>
        <v>121647305.61</v>
      </c>
    </row>
    <row r="29" spans="2:40" s="17" customFormat="1" x14ac:dyDescent="0.3">
      <c r="B29" s="18">
        <v>40210</v>
      </c>
      <c r="C29" s="13">
        <v>6803615.5099999998</v>
      </c>
      <c r="D29" s="13">
        <v>0</v>
      </c>
      <c r="E29" s="13">
        <v>1894323.23</v>
      </c>
      <c r="F29" s="13">
        <v>117254.03</v>
      </c>
      <c r="G29" s="13">
        <f t="shared" si="6"/>
        <v>8815192.7699999996</v>
      </c>
      <c r="H29" s="13">
        <v>3658999.11</v>
      </c>
      <c r="I29" s="13">
        <v>781753.51</v>
      </c>
      <c r="J29" s="13">
        <v>5293166.96</v>
      </c>
      <c r="K29" s="13">
        <f t="shared" si="1"/>
        <v>18549112.349999998</v>
      </c>
      <c r="L29" s="13">
        <v>0</v>
      </c>
      <c r="M29" s="13">
        <v>0</v>
      </c>
      <c r="N29" s="13">
        <v>48554551.990000002</v>
      </c>
      <c r="O29" s="13">
        <v>6466502.8600000003</v>
      </c>
      <c r="P29" s="13">
        <v>386617.17</v>
      </c>
      <c r="Q29" s="13">
        <v>1456609.11</v>
      </c>
      <c r="R29" s="13">
        <v>656025.43999999994</v>
      </c>
      <c r="S29" s="13">
        <v>104483.8</v>
      </c>
      <c r="T29" s="13">
        <v>0</v>
      </c>
      <c r="U29" s="13">
        <v>112855.45</v>
      </c>
      <c r="V29" s="13">
        <v>0</v>
      </c>
      <c r="W29" s="13">
        <f t="shared" si="0"/>
        <v>57737645.82</v>
      </c>
      <c r="X29" s="13">
        <v>1123209.68</v>
      </c>
      <c r="Y29" s="13">
        <v>0</v>
      </c>
      <c r="Z29" s="13">
        <v>782006.32</v>
      </c>
      <c r="AA29" s="13">
        <v>2084375</v>
      </c>
      <c r="AB29" s="13">
        <f t="shared" si="2"/>
        <v>3989591</v>
      </c>
      <c r="AC29" s="13">
        <v>10084951.5</v>
      </c>
      <c r="AD29" s="13">
        <v>17499340.670000002</v>
      </c>
      <c r="AE29" s="13">
        <f>34846436.65</f>
        <v>34846436.649999999</v>
      </c>
      <c r="AF29" s="13">
        <f t="shared" si="3"/>
        <v>62430728.82</v>
      </c>
      <c r="AG29" s="13">
        <v>0</v>
      </c>
      <c r="AH29" s="13">
        <v>0</v>
      </c>
      <c r="AI29" s="14"/>
      <c r="AJ29" s="13">
        <f t="shared" si="7"/>
        <v>18549112.349999998</v>
      </c>
      <c r="AK29" s="15">
        <f t="shared" si="4"/>
        <v>61727236.82</v>
      </c>
      <c r="AL29" s="19">
        <v>-131855.26999999999</v>
      </c>
      <c r="AM29" s="8"/>
      <c r="AN29" s="13">
        <f t="shared" si="5"/>
        <v>142575222.72</v>
      </c>
    </row>
    <row r="30" spans="2:40" s="17" customFormat="1" x14ac:dyDescent="0.3">
      <c r="B30" s="20">
        <v>40238</v>
      </c>
      <c r="C30" s="13">
        <v>5283130.1500000004</v>
      </c>
      <c r="D30" s="13">
        <v>0</v>
      </c>
      <c r="E30" s="13">
        <v>3295808.75</v>
      </c>
      <c r="F30" s="13">
        <v>336028.46</v>
      </c>
      <c r="G30" s="13">
        <f t="shared" si="6"/>
        <v>8914967.3600000013</v>
      </c>
      <c r="H30" s="13">
        <v>4091719.67</v>
      </c>
      <c r="I30" s="13">
        <v>1589307.54</v>
      </c>
      <c r="J30" s="13">
        <v>5285116.26</v>
      </c>
      <c r="K30" s="13">
        <f t="shared" si="1"/>
        <v>19881110.829999998</v>
      </c>
      <c r="L30" s="13">
        <v>0</v>
      </c>
      <c r="M30" s="13">
        <v>0</v>
      </c>
      <c r="N30" s="13">
        <v>43767200.399999999</v>
      </c>
      <c r="O30" s="13">
        <v>3494099.87</v>
      </c>
      <c r="P30" s="13">
        <v>176612.69</v>
      </c>
      <c r="Q30" s="13">
        <v>794347.42</v>
      </c>
      <c r="R30" s="13">
        <v>172115.3</v>
      </c>
      <c r="S30" s="13">
        <v>267661.68</v>
      </c>
      <c r="T30" s="13">
        <v>0</v>
      </c>
      <c r="U30" s="13">
        <v>68094.77</v>
      </c>
      <c r="V30" s="13">
        <v>0</v>
      </c>
      <c r="W30" s="13">
        <f t="shared" si="0"/>
        <v>48740132.129999995</v>
      </c>
      <c r="X30" s="13">
        <v>295295.09999999998</v>
      </c>
      <c r="Y30" s="13">
        <v>0</v>
      </c>
      <c r="Z30" s="13">
        <v>278496.59000000003</v>
      </c>
      <c r="AA30" s="13">
        <v>0</v>
      </c>
      <c r="AB30" s="13">
        <f t="shared" si="2"/>
        <v>573791.68999999994</v>
      </c>
      <c r="AC30" s="13">
        <v>10084951.5</v>
      </c>
      <c r="AD30" s="13">
        <v>17357561.449999999</v>
      </c>
      <c r="AE30" s="13">
        <f>10125238.75</f>
        <v>10125238.75</v>
      </c>
      <c r="AF30" s="13">
        <f t="shared" si="3"/>
        <v>37567751.700000003</v>
      </c>
      <c r="AG30" s="13">
        <v>0</v>
      </c>
      <c r="AH30" s="13">
        <v>0</v>
      </c>
      <c r="AI30" s="14"/>
      <c r="AJ30" s="13">
        <f t="shared" si="7"/>
        <v>19881110.829999998</v>
      </c>
      <c r="AK30" s="15">
        <f t="shared" si="4"/>
        <v>49313923.819999993</v>
      </c>
      <c r="AL30" s="19">
        <v>-84683.57</v>
      </c>
      <c r="AM30" s="8"/>
      <c r="AN30" s="13">
        <f t="shared" si="5"/>
        <v>106678102.78</v>
      </c>
    </row>
    <row r="31" spans="2:40" s="17" customFormat="1" x14ac:dyDescent="0.3">
      <c r="B31" s="21">
        <v>40269</v>
      </c>
      <c r="C31" s="13">
        <v>2000821.16</v>
      </c>
      <c r="D31" s="13">
        <v>0</v>
      </c>
      <c r="E31" s="13">
        <v>3427114.87</v>
      </c>
      <c r="F31" s="13">
        <v>160977.27000000002</v>
      </c>
      <c r="G31" s="13">
        <f t="shared" si="6"/>
        <v>5588913.3000000007</v>
      </c>
      <c r="H31" s="13">
        <v>4638227.55</v>
      </c>
      <c r="I31" s="13">
        <v>1457232.83</v>
      </c>
      <c r="J31" s="13">
        <v>8042038.9299999997</v>
      </c>
      <c r="K31" s="13">
        <f t="shared" si="1"/>
        <v>19726412.609999999</v>
      </c>
      <c r="L31" s="13">
        <v>0</v>
      </c>
      <c r="M31" s="13">
        <v>0</v>
      </c>
      <c r="N31" s="13">
        <v>38037345.609999999</v>
      </c>
      <c r="O31" s="13">
        <v>4962734.8499999996</v>
      </c>
      <c r="P31" s="13">
        <v>176612.69</v>
      </c>
      <c r="Q31" s="13">
        <v>4665905.43</v>
      </c>
      <c r="R31" s="13">
        <v>348274.94</v>
      </c>
      <c r="S31" s="13">
        <v>0</v>
      </c>
      <c r="T31" s="13">
        <v>0</v>
      </c>
      <c r="U31" s="13">
        <v>70791.350000000006</v>
      </c>
      <c r="V31" s="13">
        <v>0</v>
      </c>
      <c r="W31" s="13">
        <f t="shared" si="0"/>
        <v>48261664.869999997</v>
      </c>
      <c r="X31" s="13">
        <v>253431.6</v>
      </c>
      <c r="Y31" s="13">
        <v>0</v>
      </c>
      <c r="Z31" s="13">
        <v>256811.49</v>
      </c>
      <c r="AA31" s="13">
        <v>0</v>
      </c>
      <c r="AB31" s="13">
        <f t="shared" si="2"/>
        <v>510243.08999999997</v>
      </c>
      <c r="AC31" s="13">
        <v>10084951.5</v>
      </c>
      <c r="AD31" s="13">
        <v>21857561.449999999</v>
      </c>
      <c r="AE31" s="13">
        <v>0</v>
      </c>
      <c r="AF31" s="13">
        <f t="shared" si="3"/>
        <v>31942512.949999999</v>
      </c>
      <c r="AG31" s="13">
        <v>0</v>
      </c>
      <c r="AH31" s="13">
        <v>0</v>
      </c>
      <c r="AI31" s="14"/>
      <c r="AJ31" s="13">
        <f t="shared" si="7"/>
        <v>19726412.609999999</v>
      </c>
      <c r="AK31" s="15">
        <f t="shared" si="4"/>
        <v>48771907.960000001</v>
      </c>
      <c r="AL31" s="19">
        <v>-90182.74</v>
      </c>
      <c r="AM31" s="8"/>
      <c r="AN31" s="13">
        <f t="shared" si="5"/>
        <v>100350650.78</v>
      </c>
    </row>
    <row r="32" spans="2:40" s="17" customFormat="1" x14ac:dyDescent="0.3">
      <c r="B32" s="22">
        <v>40299</v>
      </c>
      <c r="C32" s="13">
        <v>1709078.22</v>
      </c>
      <c r="D32" s="13">
        <v>0</v>
      </c>
      <c r="E32" s="13">
        <v>2006130.5</v>
      </c>
      <c r="F32" s="13">
        <v>445759.55000000005</v>
      </c>
      <c r="G32" s="13">
        <f t="shared" si="6"/>
        <v>4160968.2699999996</v>
      </c>
      <c r="H32" s="13">
        <v>2829456.38</v>
      </c>
      <c r="I32" s="13">
        <v>1311978.54</v>
      </c>
      <c r="J32" s="13">
        <v>4919866.5199999996</v>
      </c>
      <c r="K32" s="13">
        <f t="shared" si="1"/>
        <v>13222269.709999999</v>
      </c>
      <c r="L32" s="13">
        <v>0</v>
      </c>
      <c r="M32" s="13">
        <v>0</v>
      </c>
      <c r="N32" s="13">
        <v>64417856.509999998</v>
      </c>
      <c r="O32" s="13">
        <v>4055663.32</v>
      </c>
      <c r="P32" s="13">
        <v>147024.46</v>
      </c>
      <c r="Q32" s="13">
        <v>691576.23</v>
      </c>
      <c r="R32" s="13">
        <v>389449.7</v>
      </c>
      <c r="S32" s="13">
        <v>6706.87</v>
      </c>
      <c r="T32" s="13">
        <v>0</v>
      </c>
      <c r="U32" s="13">
        <v>41401.81</v>
      </c>
      <c r="V32" s="13">
        <v>0</v>
      </c>
      <c r="W32" s="13">
        <f t="shared" si="0"/>
        <v>69749678.900000006</v>
      </c>
      <c r="X32" s="13">
        <v>78128.759999999995</v>
      </c>
      <c r="Y32" s="13">
        <v>0</v>
      </c>
      <c r="Z32" s="13">
        <v>276701.7</v>
      </c>
      <c r="AA32" s="13">
        <v>-2084375</v>
      </c>
      <c r="AB32" s="13">
        <f t="shared" si="2"/>
        <v>-1729544.54</v>
      </c>
      <c r="AC32" s="13">
        <v>10084951.5</v>
      </c>
      <c r="AD32" s="13">
        <v>17089147.890000001</v>
      </c>
      <c r="AE32" s="13">
        <v>10172317.4</v>
      </c>
      <c r="AF32" s="13">
        <f t="shared" si="3"/>
        <v>37346416.789999999</v>
      </c>
      <c r="AG32" s="13">
        <v>0</v>
      </c>
      <c r="AH32" s="13">
        <v>29148421.09</v>
      </c>
      <c r="AI32" s="14"/>
      <c r="AJ32" s="13">
        <f t="shared" si="7"/>
        <v>13222269.709999999</v>
      </c>
      <c r="AK32" s="15">
        <f t="shared" si="4"/>
        <v>68020134.359999999</v>
      </c>
      <c r="AL32" s="19">
        <v>-4324784.0599999996</v>
      </c>
      <c r="AM32" s="8"/>
      <c r="AN32" s="13">
        <f t="shared" si="5"/>
        <v>143412457.88999999</v>
      </c>
    </row>
    <row r="33" spans="2:40" s="17" customFormat="1" x14ac:dyDescent="0.3">
      <c r="B33" s="23">
        <v>40330</v>
      </c>
      <c r="C33" s="13">
        <v>1519608.18</v>
      </c>
      <c r="D33" s="13">
        <v>0</v>
      </c>
      <c r="E33" s="13">
        <v>3507359.74</v>
      </c>
      <c r="F33" s="13">
        <v>1147254.7699999998</v>
      </c>
      <c r="G33" s="13">
        <f t="shared" si="6"/>
        <v>6174222.6899999995</v>
      </c>
      <c r="H33" s="13">
        <v>3456665.07</v>
      </c>
      <c r="I33" s="13">
        <v>275276.78000000003</v>
      </c>
      <c r="J33" s="13">
        <v>5262287.2</v>
      </c>
      <c r="K33" s="13">
        <f t="shared" si="1"/>
        <v>15168451.739999998</v>
      </c>
      <c r="L33" s="13">
        <v>0</v>
      </c>
      <c r="M33" s="13">
        <v>0</v>
      </c>
      <c r="N33" s="13">
        <v>32574099.66</v>
      </c>
      <c r="O33" s="13">
        <v>3995530.55</v>
      </c>
      <c r="P33" s="13">
        <v>181354.55</v>
      </c>
      <c r="Q33" s="13">
        <v>753632.14</v>
      </c>
      <c r="R33" s="13">
        <v>467567.3</v>
      </c>
      <c r="S33" s="13">
        <v>127260.17</v>
      </c>
      <c r="T33" s="13">
        <v>0</v>
      </c>
      <c r="U33" s="13">
        <v>70478.7</v>
      </c>
      <c r="V33" s="13">
        <v>0</v>
      </c>
      <c r="W33" s="13">
        <f t="shared" si="0"/>
        <v>38169923.07</v>
      </c>
      <c r="X33" s="13">
        <v>121346.88</v>
      </c>
      <c r="Y33" s="13">
        <v>0</v>
      </c>
      <c r="Z33" s="13">
        <v>193486.46</v>
      </c>
      <c r="AA33" s="13">
        <v>0</v>
      </c>
      <c r="AB33" s="13">
        <f t="shared" si="2"/>
        <v>314833.33999999997</v>
      </c>
      <c r="AC33" s="13">
        <v>10084951.5</v>
      </c>
      <c r="AD33" s="13">
        <v>12857561.449999999</v>
      </c>
      <c r="AE33" s="13">
        <v>0</v>
      </c>
      <c r="AF33" s="13">
        <f t="shared" si="3"/>
        <v>22942512.949999999</v>
      </c>
      <c r="AG33" s="13">
        <v>0</v>
      </c>
      <c r="AH33" s="13">
        <v>0</v>
      </c>
      <c r="AI33" s="14"/>
      <c r="AJ33" s="13">
        <f t="shared" si="7"/>
        <v>15168451.739999998</v>
      </c>
      <c r="AK33" s="15">
        <f t="shared" si="4"/>
        <v>38484756.410000004</v>
      </c>
      <c r="AL33" s="19">
        <v>0</v>
      </c>
      <c r="AM33" s="8"/>
      <c r="AN33" s="13">
        <f t="shared" si="5"/>
        <v>76595721.100000009</v>
      </c>
    </row>
    <row r="34" spans="2:40" s="17" customFormat="1" x14ac:dyDescent="0.3">
      <c r="B34" s="24">
        <v>40360</v>
      </c>
      <c r="C34" s="13">
        <v>1470325.63</v>
      </c>
      <c r="D34" s="13">
        <v>0</v>
      </c>
      <c r="E34" s="13">
        <v>2900867.25</v>
      </c>
      <c r="F34" s="13">
        <v>515546.75</v>
      </c>
      <c r="G34" s="13">
        <f t="shared" si="6"/>
        <v>4886739.63</v>
      </c>
      <c r="H34" s="13">
        <v>3964348</v>
      </c>
      <c r="I34" s="13">
        <v>5134141.25</v>
      </c>
      <c r="J34" s="13">
        <v>5549982.6200000001</v>
      </c>
      <c r="K34" s="13">
        <f t="shared" si="1"/>
        <v>19535211.5</v>
      </c>
      <c r="L34" s="13">
        <v>0</v>
      </c>
      <c r="M34" s="13">
        <v>0</v>
      </c>
      <c r="N34" s="13">
        <v>41193384.579999998</v>
      </c>
      <c r="O34" s="13">
        <v>4539100.1500000004</v>
      </c>
      <c r="P34" s="13">
        <v>176612.69</v>
      </c>
      <c r="Q34" s="13">
        <v>0</v>
      </c>
      <c r="R34" s="13">
        <v>566867.05000000005</v>
      </c>
      <c r="S34" s="13">
        <v>286234.53000000003</v>
      </c>
      <c r="T34" s="13">
        <v>0</v>
      </c>
      <c r="U34" s="13">
        <v>58411.43</v>
      </c>
      <c r="V34" s="13">
        <v>0</v>
      </c>
      <c r="W34" s="13">
        <f t="shared" si="0"/>
        <v>46820610.429999992</v>
      </c>
      <c r="X34" s="13">
        <v>220512.87</v>
      </c>
      <c r="Y34" s="13">
        <v>0</v>
      </c>
      <c r="Z34" s="13">
        <v>386724.91</v>
      </c>
      <c r="AA34" s="13">
        <v>0</v>
      </c>
      <c r="AB34" s="13">
        <f t="shared" si="2"/>
        <v>607237.78</v>
      </c>
      <c r="AC34" s="13">
        <v>10084951.5</v>
      </c>
      <c r="AD34" s="13">
        <v>17357561.449999999</v>
      </c>
      <c r="AE34" s="13">
        <f>23871470.27</f>
        <v>23871470.27</v>
      </c>
      <c r="AF34" s="13">
        <f t="shared" si="3"/>
        <v>51313983.219999999</v>
      </c>
      <c r="AG34" s="13">
        <v>0</v>
      </c>
      <c r="AH34" s="13">
        <v>30887866.170000002</v>
      </c>
      <c r="AI34" s="14"/>
      <c r="AJ34" s="13">
        <f t="shared" si="7"/>
        <v>19535211.5</v>
      </c>
      <c r="AK34" s="15">
        <f t="shared" si="4"/>
        <v>47427848.209999993</v>
      </c>
      <c r="AL34" s="19">
        <v>0</v>
      </c>
      <c r="AM34" s="8"/>
      <c r="AN34" s="13">
        <f t="shared" si="5"/>
        <v>149164909.09999999</v>
      </c>
    </row>
    <row r="35" spans="2:40" s="17" customFormat="1" x14ac:dyDescent="0.3">
      <c r="B35" s="25">
        <v>40391</v>
      </c>
      <c r="C35" s="13">
        <v>1861026.52</v>
      </c>
      <c r="D35" s="13">
        <v>0</v>
      </c>
      <c r="E35" s="13">
        <v>2433493.9300000002</v>
      </c>
      <c r="F35" s="13">
        <v>134399.35</v>
      </c>
      <c r="G35" s="13">
        <f t="shared" si="6"/>
        <v>4428919.8</v>
      </c>
      <c r="H35" s="13">
        <v>3623772.59</v>
      </c>
      <c r="I35" s="13">
        <v>292706.37</v>
      </c>
      <c r="J35" s="13">
        <v>4838929.4000000004</v>
      </c>
      <c r="K35" s="13">
        <f t="shared" si="1"/>
        <v>13184328.16</v>
      </c>
      <c r="L35" s="13">
        <v>0</v>
      </c>
      <c r="M35" s="13">
        <v>0</v>
      </c>
      <c r="N35" s="13">
        <v>24750433.210000001</v>
      </c>
      <c r="O35" s="13">
        <v>3153020.85</v>
      </c>
      <c r="P35" s="13">
        <v>255993.65</v>
      </c>
      <c r="Q35" s="13">
        <v>0</v>
      </c>
      <c r="R35" s="13">
        <v>450983.8</v>
      </c>
      <c r="S35" s="13">
        <v>124315.82</v>
      </c>
      <c r="T35" s="13">
        <v>0</v>
      </c>
      <c r="U35" s="13">
        <v>39878.65</v>
      </c>
      <c r="V35" s="13">
        <v>0</v>
      </c>
      <c r="W35" s="13">
        <f t="shared" si="0"/>
        <v>28774625.98</v>
      </c>
      <c r="X35" s="13">
        <v>74846.100000000006</v>
      </c>
      <c r="Y35" s="13">
        <v>0</v>
      </c>
      <c r="Z35" s="13">
        <v>228107.46</v>
      </c>
      <c r="AA35" s="13">
        <v>0</v>
      </c>
      <c r="AB35" s="13">
        <f t="shared" si="2"/>
        <v>302953.56</v>
      </c>
      <c r="AC35" s="13">
        <v>10084951.5</v>
      </c>
      <c r="AD35" s="13">
        <v>17357561.449999999</v>
      </c>
      <c r="AE35" s="13">
        <f>25038788.81</f>
        <v>25038788.809999999</v>
      </c>
      <c r="AF35" s="13">
        <f t="shared" si="3"/>
        <v>52481301.759999998</v>
      </c>
      <c r="AG35" s="13">
        <v>0</v>
      </c>
      <c r="AH35" s="13">
        <v>-10195681.99</v>
      </c>
      <c r="AI35" s="14"/>
      <c r="AJ35" s="13">
        <f t="shared" si="7"/>
        <v>13184328.16</v>
      </c>
      <c r="AK35" s="15">
        <f t="shared" si="4"/>
        <v>29077579.539999999</v>
      </c>
      <c r="AL35" s="19">
        <v>-44988.09</v>
      </c>
      <c r="AM35" s="8"/>
      <c r="AN35" s="13">
        <f t="shared" si="5"/>
        <v>84502539.38000001</v>
      </c>
    </row>
    <row r="36" spans="2:40" s="17" customFormat="1" x14ac:dyDescent="0.3">
      <c r="B36" s="26">
        <v>40422</v>
      </c>
      <c r="C36" s="13">
        <v>1120790.92</v>
      </c>
      <c r="D36" s="13">
        <v>0</v>
      </c>
      <c r="E36" s="13">
        <v>2148101.56</v>
      </c>
      <c r="F36" s="13">
        <v>1069820.28</v>
      </c>
      <c r="G36" s="13">
        <f t="shared" si="6"/>
        <v>4338712.76</v>
      </c>
      <c r="H36" s="13">
        <v>2773058.78</v>
      </c>
      <c r="I36" s="13">
        <v>1032688.52</v>
      </c>
      <c r="J36" s="13">
        <v>5847451.96</v>
      </c>
      <c r="K36" s="13">
        <f t="shared" si="1"/>
        <v>13991912.02</v>
      </c>
      <c r="L36" s="13">
        <v>0</v>
      </c>
      <c r="M36" s="13">
        <v>0</v>
      </c>
      <c r="N36" s="13">
        <v>37971021.450000003</v>
      </c>
      <c r="O36" s="13">
        <v>4543378.3</v>
      </c>
      <c r="P36" s="13">
        <v>176612.69</v>
      </c>
      <c r="Q36" s="13">
        <v>0</v>
      </c>
      <c r="R36" s="13">
        <v>443703.45</v>
      </c>
      <c r="S36" s="13">
        <v>0</v>
      </c>
      <c r="T36" s="13">
        <v>0</v>
      </c>
      <c r="U36" s="13">
        <v>69231.350000000006</v>
      </c>
      <c r="V36" s="13">
        <v>0</v>
      </c>
      <c r="W36" s="13">
        <f t="shared" ref="W36:W99" si="8">SUM(M36:V36)</f>
        <v>43203947.240000002</v>
      </c>
      <c r="X36" s="13">
        <v>61896.53</v>
      </c>
      <c r="Y36" s="13">
        <v>0</v>
      </c>
      <c r="Z36" s="13">
        <v>263334.28999999998</v>
      </c>
      <c r="AA36" s="13">
        <v>0</v>
      </c>
      <c r="AB36" s="13">
        <f t="shared" si="2"/>
        <v>325230.81999999995</v>
      </c>
      <c r="AC36" s="13">
        <v>10084951.5</v>
      </c>
      <c r="AD36" s="13">
        <v>17357561.449999999</v>
      </c>
      <c r="AE36" s="13">
        <f>15538826.77</f>
        <v>15538826.77</v>
      </c>
      <c r="AF36" s="13">
        <f t="shared" si="3"/>
        <v>42981339.719999999</v>
      </c>
      <c r="AG36" s="13">
        <v>0</v>
      </c>
      <c r="AH36" s="13">
        <v>9879932.2599999998</v>
      </c>
      <c r="AI36" s="14"/>
      <c r="AJ36" s="13">
        <f t="shared" si="7"/>
        <v>13991912.02</v>
      </c>
      <c r="AK36" s="15">
        <f t="shared" si="4"/>
        <v>43529178.060000002</v>
      </c>
      <c r="AL36" s="19">
        <v>-41633.67</v>
      </c>
      <c r="AM36" s="8"/>
      <c r="AN36" s="13">
        <f t="shared" si="5"/>
        <v>110340728.39</v>
      </c>
    </row>
    <row r="37" spans="2:40" s="17" customFormat="1" x14ac:dyDescent="0.3">
      <c r="B37" s="27">
        <v>40452</v>
      </c>
      <c r="C37" s="13">
        <v>1481105.57</v>
      </c>
      <c r="D37" s="13">
        <v>0</v>
      </c>
      <c r="E37" s="13">
        <v>3836561.06</v>
      </c>
      <c r="F37" s="13">
        <v>456854.6</v>
      </c>
      <c r="G37" s="13">
        <f t="shared" si="6"/>
        <v>5774521.2299999995</v>
      </c>
      <c r="H37" s="13">
        <v>3466521.83</v>
      </c>
      <c r="I37" s="13">
        <v>1074636.3600000001</v>
      </c>
      <c r="J37" s="13">
        <v>1936581.92</v>
      </c>
      <c r="K37" s="13">
        <f t="shared" si="1"/>
        <v>12252261.339999998</v>
      </c>
      <c r="L37" s="13">
        <v>0</v>
      </c>
      <c r="M37" s="13">
        <v>0</v>
      </c>
      <c r="N37" s="13">
        <v>42746151.719999999</v>
      </c>
      <c r="O37" s="13">
        <v>4630454.26</v>
      </c>
      <c r="P37" s="13">
        <v>176709.84</v>
      </c>
      <c r="Q37" s="13">
        <v>0</v>
      </c>
      <c r="R37" s="13">
        <v>0</v>
      </c>
      <c r="S37" s="13">
        <v>258869.24</v>
      </c>
      <c r="T37" s="13">
        <v>0</v>
      </c>
      <c r="U37" s="13">
        <v>60095.34</v>
      </c>
      <c r="V37" s="13">
        <v>0</v>
      </c>
      <c r="W37" s="13">
        <f t="shared" si="8"/>
        <v>47872280.400000006</v>
      </c>
      <c r="X37" s="13">
        <v>43057.51</v>
      </c>
      <c r="Y37" s="13">
        <v>0</v>
      </c>
      <c r="Z37" s="13">
        <v>235280.35</v>
      </c>
      <c r="AA37" s="13">
        <v>0</v>
      </c>
      <c r="AB37" s="13">
        <f t="shared" si="2"/>
        <v>278337.86</v>
      </c>
      <c r="AC37" s="13">
        <v>10084951.5</v>
      </c>
      <c r="AD37" s="13">
        <v>17357561.449999999</v>
      </c>
      <c r="AE37" s="13">
        <v>6902707</v>
      </c>
      <c r="AF37" s="13">
        <f t="shared" si="3"/>
        <v>34345219.950000003</v>
      </c>
      <c r="AG37" s="13">
        <v>0</v>
      </c>
      <c r="AH37" s="13">
        <v>0</v>
      </c>
      <c r="AI37" s="14"/>
      <c r="AJ37" s="13">
        <f t="shared" si="7"/>
        <v>12252261.339999998</v>
      </c>
      <c r="AK37" s="15">
        <f t="shared" si="4"/>
        <v>48150618.260000005</v>
      </c>
      <c r="AL37" s="19">
        <v>-4737.1099999999997</v>
      </c>
      <c r="AM37" s="8"/>
      <c r="AN37" s="13">
        <f t="shared" si="5"/>
        <v>94743362.440000013</v>
      </c>
    </row>
    <row r="38" spans="2:40" s="17" customFormat="1" x14ac:dyDescent="0.3">
      <c r="B38" s="28">
        <v>40483</v>
      </c>
      <c r="C38" s="13">
        <v>1347377.59</v>
      </c>
      <c r="D38" s="13">
        <v>0</v>
      </c>
      <c r="E38" s="13">
        <v>2535839.69</v>
      </c>
      <c r="F38" s="13">
        <v>980155.88000000012</v>
      </c>
      <c r="G38" s="13">
        <f t="shared" si="6"/>
        <v>4863373.16</v>
      </c>
      <c r="H38" s="13">
        <v>4272138.66</v>
      </c>
      <c r="I38" s="13">
        <v>947924.45</v>
      </c>
      <c r="J38" s="13">
        <v>4700701.01</v>
      </c>
      <c r="K38" s="13">
        <f t="shared" si="1"/>
        <v>14784137.279999999</v>
      </c>
      <c r="L38" s="13">
        <v>0</v>
      </c>
      <c r="M38" s="13">
        <v>0</v>
      </c>
      <c r="N38" s="13">
        <v>60736641.020000003</v>
      </c>
      <c r="O38" s="13">
        <v>3525947.43</v>
      </c>
      <c r="P38" s="13">
        <v>262704.83</v>
      </c>
      <c r="Q38" s="13">
        <v>0</v>
      </c>
      <c r="R38" s="13">
        <v>312534.89</v>
      </c>
      <c r="S38" s="13">
        <v>113536.66</v>
      </c>
      <c r="T38" s="13">
        <v>0</v>
      </c>
      <c r="U38" s="13">
        <v>39763.54</v>
      </c>
      <c r="V38" s="13">
        <v>0</v>
      </c>
      <c r="W38" s="13">
        <f t="shared" si="8"/>
        <v>64991128.369999997</v>
      </c>
      <c r="X38" s="13">
        <v>93608.46</v>
      </c>
      <c r="Y38" s="13">
        <v>0</v>
      </c>
      <c r="Z38" s="13">
        <v>271027.12</v>
      </c>
      <c r="AA38" s="13">
        <v>13269</v>
      </c>
      <c r="AB38" s="13">
        <f t="shared" si="2"/>
        <v>377904.58</v>
      </c>
      <c r="AC38" s="13">
        <v>10084949.5</v>
      </c>
      <c r="AD38" s="13">
        <v>17357561.449999999</v>
      </c>
      <c r="AE38" s="13">
        <v>34270521.210000001</v>
      </c>
      <c r="AF38" s="13">
        <f t="shared" si="3"/>
        <v>61713032.159999996</v>
      </c>
      <c r="AG38" s="13">
        <v>0</v>
      </c>
      <c r="AH38" s="13">
        <v>0</v>
      </c>
      <c r="AI38" s="14"/>
      <c r="AJ38" s="13">
        <f t="shared" si="7"/>
        <v>14784137.279999999</v>
      </c>
      <c r="AK38" s="15">
        <f t="shared" si="4"/>
        <v>65369032.949999996</v>
      </c>
      <c r="AL38" s="19">
        <v>-4264.59</v>
      </c>
      <c r="AM38" s="8"/>
      <c r="AN38" s="13">
        <f t="shared" si="5"/>
        <v>141861937.79999998</v>
      </c>
    </row>
    <row r="39" spans="2:40" s="17" customFormat="1" x14ac:dyDescent="0.3">
      <c r="B39" s="29">
        <v>40513</v>
      </c>
      <c r="C39" s="13">
        <v>1662085.28</v>
      </c>
      <c r="D39" s="13">
        <v>0</v>
      </c>
      <c r="E39" s="13">
        <v>4293276.88</v>
      </c>
      <c r="F39" s="13">
        <v>15007.2</v>
      </c>
      <c r="G39" s="13">
        <f t="shared" si="6"/>
        <v>5970369.3600000003</v>
      </c>
      <c r="H39" s="13">
        <v>4521394.5199999996</v>
      </c>
      <c r="I39" s="13">
        <v>9663730.8000000007</v>
      </c>
      <c r="J39" s="13">
        <v>3011677.84</v>
      </c>
      <c r="K39" s="13">
        <f t="shared" si="1"/>
        <v>23167172.52</v>
      </c>
      <c r="L39" s="13">
        <v>0</v>
      </c>
      <c r="M39" s="13">
        <v>0</v>
      </c>
      <c r="N39" s="13">
        <v>106630860.84</v>
      </c>
      <c r="O39" s="13">
        <v>4247036.47</v>
      </c>
      <c r="P39" s="13">
        <v>353225.38</v>
      </c>
      <c r="Q39" s="13">
        <v>374216.14</v>
      </c>
      <c r="R39" s="13">
        <v>349056.47</v>
      </c>
      <c r="S39" s="13">
        <v>140260.01999999999</v>
      </c>
      <c r="T39" s="13">
        <v>0</v>
      </c>
      <c r="U39" s="13">
        <v>71766.28</v>
      </c>
      <c r="V39" s="13">
        <v>0</v>
      </c>
      <c r="W39" s="13">
        <f t="shared" si="8"/>
        <v>112166421.59999999</v>
      </c>
      <c r="X39" s="13">
        <v>632841.36</v>
      </c>
      <c r="Y39" s="13">
        <v>0</v>
      </c>
      <c r="Z39" s="13">
        <v>373622.7</v>
      </c>
      <c r="AA39" s="13">
        <v>12273</v>
      </c>
      <c r="AB39" s="13">
        <f t="shared" si="2"/>
        <v>1018737.06</v>
      </c>
      <c r="AC39" s="13">
        <v>0</v>
      </c>
      <c r="AD39" s="13">
        <v>34715122.5</v>
      </c>
      <c r="AE39" s="13">
        <v>52684474.18</v>
      </c>
      <c r="AF39" s="13">
        <f t="shared" si="3"/>
        <v>87399596.680000007</v>
      </c>
      <c r="AG39" s="13">
        <v>0</v>
      </c>
      <c r="AH39" s="13">
        <f>50000000+4172830.32</f>
        <v>54172830.32</v>
      </c>
      <c r="AI39" s="14"/>
      <c r="AJ39" s="13">
        <f t="shared" si="7"/>
        <v>23167172.52</v>
      </c>
      <c r="AK39" s="15">
        <f t="shared" si="4"/>
        <v>113185158.66</v>
      </c>
      <c r="AL39" s="19">
        <v>-800338.14</v>
      </c>
      <c r="AM39" s="8"/>
      <c r="AN39" s="13">
        <f t="shared" si="5"/>
        <v>277124420.04000002</v>
      </c>
    </row>
    <row r="40" spans="2:40" s="17" customFormat="1" x14ac:dyDescent="0.3">
      <c r="B40" s="12">
        <v>40544</v>
      </c>
      <c r="C40" s="13">
        <v>49040130.039999999</v>
      </c>
      <c r="D40" s="13">
        <v>0</v>
      </c>
      <c r="E40" s="13">
        <v>2149466.54</v>
      </c>
      <c r="F40" s="13">
        <v>65673.2</v>
      </c>
      <c r="G40" s="13">
        <f t="shared" si="6"/>
        <v>51255269.780000001</v>
      </c>
      <c r="H40" s="13">
        <v>4954124.87</v>
      </c>
      <c r="I40" s="13">
        <v>378713.36</v>
      </c>
      <c r="J40" s="13">
        <v>1370591.86</v>
      </c>
      <c r="K40" s="13">
        <f t="shared" si="1"/>
        <v>57958699.869999997</v>
      </c>
      <c r="L40" s="13">
        <v>0</v>
      </c>
      <c r="M40" s="13">
        <v>0</v>
      </c>
      <c r="N40" s="13">
        <v>37170990.829999998</v>
      </c>
      <c r="O40" s="13">
        <v>4523634.75</v>
      </c>
      <c r="P40" s="13">
        <v>0</v>
      </c>
      <c r="Q40" s="13">
        <v>752173.51</v>
      </c>
      <c r="R40" s="13">
        <v>346769.51</v>
      </c>
      <c r="S40" s="13">
        <v>0</v>
      </c>
      <c r="T40" s="13">
        <v>0</v>
      </c>
      <c r="U40" s="13">
        <v>60645.87</v>
      </c>
      <c r="V40" s="13">
        <v>0</v>
      </c>
      <c r="W40" s="13">
        <f t="shared" si="8"/>
        <v>42854214.469999991</v>
      </c>
      <c r="X40" s="13">
        <v>0</v>
      </c>
      <c r="Y40" s="13">
        <v>0</v>
      </c>
      <c r="Z40" s="13">
        <v>0</v>
      </c>
      <c r="AA40" s="13">
        <v>0</v>
      </c>
      <c r="AB40" s="13">
        <f t="shared" si="2"/>
        <v>0</v>
      </c>
      <c r="AC40" s="13">
        <v>0</v>
      </c>
      <c r="AD40" s="13">
        <v>0</v>
      </c>
      <c r="AE40" s="13">
        <v>2353477.7400000002</v>
      </c>
      <c r="AF40" s="13">
        <f t="shared" si="3"/>
        <v>2353477.7400000002</v>
      </c>
      <c r="AG40" s="13">
        <v>0</v>
      </c>
      <c r="AH40" s="13">
        <v>7128713.3899999997</v>
      </c>
      <c r="AI40" s="14"/>
      <c r="AJ40" s="13">
        <f t="shared" si="7"/>
        <v>57958699.869999997</v>
      </c>
      <c r="AK40" s="15">
        <f t="shared" si="4"/>
        <v>42854214.469999991</v>
      </c>
      <c r="AL40" s="19">
        <v>-171.37</v>
      </c>
      <c r="AM40" s="8"/>
      <c r="AN40" s="13">
        <f t="shared" si="5"/>
        <v>110294934.09999998</v>
      </c>
    </row>
    <row r="41" spans="2:40" s="17" customFormat="1" x14ac:dyDescent="0.3">
      <c r="B41" s="18">
        <v>40575</v>
      </c>
      <c r="C41" s="13">
        <v>9421418.5299999993</v>
      </c>
      <c r="D41" s="13">
        <v>0</v>
      </c>
      <c r="E41" s="13">
        <v>2068326.95</v>
      </c>
      <c r="F41" s="13">
        <v>93172.2</v>
      </c>
      <c r="G41" s="13">
        <f t="shared" si="6"/>
        <v>11582917.679999998</v>
      </c>
      <c r="H41" s="13">
        <v>4639702.1100000003</v>
      </c>
      <c r="I41" s="13">
        <v>812034.92</v>
      </c>
      <c r="J41" s="13">
        <v>2203035.9</v>
      </c>
      <c r="K41" s="13">
        <f t="shared" si="1"/>
        <v>19237690.609999999</v>
      </c>
      <c r="L41" s="13">
        <v>0</v>
      </c>
      <c r="M41" s="13">
        <v>0</v>
      </c>
      <c r="N41" s="13">
        <v>39225817.729999997</v>
      </c>
      <c r="O41" s="13">
        <v>6844684.9800000004</v>
      </c>
      <c r="P41" s="13">
        <v>282236.96999999997</v>
      </c>
      <c r="Q41" s="13">
        <v>731712.18</v>
      </c>
      <c r="R41" s="13">
        <v>619885.13</v>
      </c>
      <c r="S41" s="13">
        <v>129710.81</v>
      </c>
      <c r="T41" s="13">
        <v>0</v>
      </c>
      <c r="U41" s="13">
        <v>58536.59</v>
      </c>
      <c r="V41" s="13">
        <v>0</v>
      </c>
      <c r="W41" s="13">
        <f t="shared" si="8"/>
        <v>47892584.390000001</v>
      </c>
      <c r="X41" s="13">
        <v>4766679.0599999996</v>
      </c>
      <c r="Y41" s="13">
        <v>0</v>
      </c>
      <c r="Z41" s="13">
        <v>888235.26</v>
      </c>
      <c r="AA41" s="13">
        <v>0</v>
      </c>
      <c r="AB41" s="13">
        <f t="shared" si="2"/>
        <v>5654914.3199999994</v>
      </c>
      <c r="AC41" s="13">
        <v>11217184.970000001</v>
      </c>
      <c r="AD41" s="13">
        <v>19464451.5</v>
      </c>
      <c r="AE41" s="13">
        <v>0</v>
      </c>
      <c r="AF41" s="13">
        <f t="shared" si="3"/>
        <v>30681636.469999999</v>
      </c>
      <c r="AG41" s="13">
        <v>0</v>
      </c>
      <c r="AH41" s="13">
        <v>0</v>
      </c>
      <c r="AI41" s="14"/>
      <c r="AJ41" s="13">
        <f t="shared" si="7"/>
        <v>19237690.609999999</v>
      </c>
      <c r="AK41" s="15">
        <f t="shared" si="4"/>
        <v>53547498.710000001</v>
      </c>
      <c r="AL41" s="19">
        <v>-2116.31</v>
      </c>
      <c r="AM41" s="8"/>
      <c r="AN41" s="13">
        <f t="shared" si="5"/>
        <v>103464709.47999999</v>
      </c>
    </row>
    <row r="42" spans="2:40" s="17" customFormat="1" x14ac:dyDescent="0.3">
      <c r="B42" s="20">
        <v>40603</v>
      </c>
      <c r="C42" s="13">
        <v>7934780.2800000003</v>
      </c>
      <c r="D42" s="13">
        <v>0</v>
      </c>
      <c r="E42" s="13">
        <v>2105029.98</v>
      </c>
      <c r="F42" s="13">
        <v>43665.25</v>
      </c>
      <c r="G42" s="13">
        <f t="shared" si="6"/>
        <v>10083475.51</v>
      </c>
      <c r="H42" s="13">
        <v>4736039.71</v>
      </c>
      <c r="I42" s="13">
        <v>749380.2</v>
      </c>
      <c r="J42" s="13">
        <v>1420526.22</v>
      </c>
      <c r="K42" s="13">
        <f t="shared" si="1"/>
        <v>16989421.639999997</v>
      </c>
      <c r="L42" s="13">
        <v>0</v>
      </c>
      <c r="M42" s="13">
        <v>0</v>
      </c>
      <c r="N42" s="13">
        <v>51940170.770000003</v>
      </c>
      <c r="O42" s="13">
        <v>4772264.4000000004</v>
      </c>
      <c r="P42" s="13">
        <v>176612.69</v>
      </c>
      <c r="Q42" s="13">
        <v>757955.81</v>
      </c>
      <c r="R42" s="13">
        <v>134101.76000000001</v>
      </c>
      <c r="S42" s="13">
        <v>244748.14</v>
      </c>
      <c r="T42" s="13">
        <v>0</v>
      </c>
      <c r="U42" s="13">
        <v>68862.789999999994</v>
      </c>
      <c r="V42" s="13">
        <v>0</v>
      </c>
      <c r="W42" s="13">
        <f t="shared" si="8"/>
        <v>58094716.359999999</v>
      </c>
      <c r="X42" s="13">
        <v>3274185.26</v>
      </c>
      <c r="Y42" s="13">
        <v>0</v>
      </c>
      <c r="Z42" s="13">
        <v>441078.69</v>
      </c>
      <c r="AA42" s="13">
        <v>0</v>
      </c>
      <c r="AB42" s="13">
        <f t="shared" si="2"/>
        <v>3715263.9499999997</v>
      </c>
      <c r="AC42" s="13">
        <v>11217184.970000001</v>
      </c>
      <c r="AD42" s="13">
        <v>19464451.5</v>
      </c>
      <c r="AE42" s="13">
        <v>0</v>
      </c>
      <c r="AF42" s="13">
        <f t="shared" si="3"/>
        <v>30681636.469999999</v>
      </c>
      <c r="AG42" s="13">
        <v>0</v>
      </c>
      <c r="AH42" s="13">
        <v>0</v>
      </c>
      <c r="AI42" s="14"/>
      <c r="AJ42" s="13">
        <f t="shared" si="7"/>
        <v>16989421.639999997</v>
      </c>
      <c r="AK42" s="15">
        <f t="shared" si="4"/>
        <v>61809980.310000002</v>
      </c>
      <c r="AL42" s="19">
        <v>-259944.79</v>
      </c>
      <c r="AM42" s="8"/>
      <c r="AN42" s="13">
        <f t="shared" si="5"/>
        <v>109221093.63</v>
      </c>
    </row>
    <row r="43" spans="2:40" s="17" customFormat="1" x14ac:dyDescent="0.3">
      <c r="B43" s="21">
        <v>40634</v>
      </c>
      <c r="C43" s="13">
        <v>2416213.71</v>
      </c>
      <c r="D43" s="13">
        <v>0</v>
      </c>
      <c r="E43" s="13">
        <v>2453188.7999999998</v>
      </c>
      <c r="F43" s="13">
        <v>2520</v>
      </c>
      <c r="G43" s="13">
        <f t="shared" si="6"/>
        <v>4871922.51</v>
      </c>
      <c r="H43" s="13">
        <v>3012797.03</v>
      </c>
      <c r="I43" s="13">
        <v>455132.11</v>
      </c>
      <c r="J43" s="13">
        <v>3062277.95</v>
      </c>
      <c r="K43" s="13">
        <f t="shared" si="1"/>
        <v>11402129.6</v>
      </c>
      <c r="L43" s="13">
        <v>0</v>
      </c>
      <c r="M43" s="13">
        <v>0</v>
      </c>
      <c r="N43" s="13">
        <v>31943583.530000001</v>
      </c>
      <c r="O43" s="13">
        <v>5455348.8899999997</v>
      </c>
      <c r="P43" s="13">
        <v>176612.67</v>
      </c>
      <c r="Q43" s="13">
        <v>697847.03</v>
      </c>
      <c r="R43" s="13">
        <v>306697.40000000002</v>
      </c>
      <c r="S43" s="13">
        <v>126089.81</v>
      </c>
      <c r="T43" s="13">
        <v>0</v>
      </c>
      <c r="U43" s="13">
        <v>71605.17</v>
      </c>
      <c r="V43" s="13">
        <v>0</v>
      </c>
      <c r="W43" s="13">
        <f t="shared" si="8"/>
        <v>38777784.500000007</v>
      </c>
      <c r="X43" s="13">
        <v>1550818.87</v>
      </c>
      <c r="Y43" s="13">
        <v>0</v>
      </c>
      <c r="Z43" s="13">
        <v>304326.71000000002</v>
      </c>
      <c r="AA43" s="13">
        <v>0</v>
      </c>
      <c r="AB43" s="13">
        <f t="shared" si="2"/>
        <v>1855145.58</v>
      </c>
      <c r="AC43" s="13">
        <v>11217184.970000001</v>
      </c>
      <c r="AD43" s="13">
        <v>19464451.5</v>
      </c>
      <c r="AE43" s="13">
        <v>0</v>
      </c>
      <c r="AF43" s="13">
        <f t="shared" si="3"/>
        <v>30681636.469999999</v>
      </c>
      <c r="AG43" s="13">
        <v>0</v>
      </c>
      <c r="AH43" s="13">
        <v>0</v>
      </c>
      <c r="AI43" s="14"/>
      <c r="AJ43" s="13">
        <f t="shared" si="7"/>
        <v>11402129.6</v>
      </c>
      <c r="AK43" s="15">
        <f t="shared" si="4"/>
        <v>40632930.080000006</v>
      </c>
      <c r="AL43" s="19">
        <v>-630</v>
      </c>
      <c r="AM43" s="8"/>
      <c r="AN43" s="13">
        <f t="shared" si="5"/>
        <v>82716066.150000006</v>
      </c>
    </row>
    <row r="44" spans="2:40" s="17" customFormat="1" x14ac:dyDescent="0.3">
      <c r="B44" s="22">
        <v>40664</v>
      </c>
      <c r="C44" s="13">
        <v>2201300.17</v>
      </c>
      <c r="D44" s="13">
        <v>0</v>
      </c>
      <c r="E44" s="13">
        <v>3101541.19</v>
      </c>
      <c r="F44" s="13">
        <v>568696.9</v>
      </c>
      <c r="G44" s="13">
        <f t="shared" si="6"/>
        <v>5871538.2599999998</v>
      </c>
      <c r="H44" s="13">
        <v>3864910.15</v>
      </c>
      <c r="I44" s="13">
        <v>683168.33</v>
      </c>
      <c r="J44" s="13">
        <v>12818020.24</v>
      </c>
      <c r="K44" s="13">
        <f t="shared" si="1"/>
        <v>23237636.98</v>
      </c>
      <c r="L44" s="13">
        <v>0</v>
      </c>
      <c r="M44" s="13">
        <v>0</v>
      </c>
      <c r="N44" s="13">
        <v>41712561.420000002</v>
      </c>
      <c r="O44" s="13">
        <v>4951717.05</v>
      </c>
      <c r="P44" s="13">
        <v>373739.3</v>
      </c>
      <c r="Q44" s="13">
        <v>687446.54</v>
      </c>
      <c r="R44" s="13">
        <v>332216.62</v>
      </c>
      <c r="S44" s="13">
        <v>109322.47</v>
      </c>
      <c r="T44" s="13">
        <v>0</v>
      </c>
      <c r="U44" s="13">
        <v>64028.98</v>
      </c>
      <c r="V44" s="13">
        <v>0</v>
      </c>
      <c r="W44" s="13">
        <f t="shared" si="8"/>
        <v>48231032.379999988</v>
      </c>
      <c r="X44" s="13">
        <v>738865.88</v>
      </c>
      <c r="Y44" s="13">
        <v>0</v>
      </c>
      <c r="Z44" s="13">
        <v>348109.94</v>
      </c>
      <c r="AA44" s="13">
        <v>0</v>
      </c>
      <c r="AB44" s="13">
        <f t="shared" si="2"/>
        <v>1086975.82</v>
      </c>
      <c r="AC44" s="13">
        <v>11217184.970000001</v>
      </c>
      <c r="AD44" s="13">
        <v>19464451.5</v>
      </c>
      <c r="AE44" s="13">
        <v>9023438.0700000003</v>
      </c>
      <c r="AF44" s="13">
        <f t="shared" si="3"/>
        <v>39705074.539999999</v>
      </c>
      <c r="AG44" s="13">
        <v>0</v>
      </c>
      <c r="AH44" s="13">
        <v>0</v>
      </c>
      <c r="AI44" s="14"/>
      <c r="AJ44" s="13">
        <f t="shared" si="7"/>
        <v>23237636.98</v>
      </c>
      <c r="AK44" s="15">
        <f t="shared" si="4"/>
        <v>49318008.199999988</v>
      </c>
      <c r="AL44" s="19">
        <v>-266664.38</v>
      </c>
      <c r="AM44" s="8"/>
      <c r="AN44" s="13">
        <f t="shared" si="5"/>
        <v>111994055.34</v>
      </c>
    </row>
    <row r="45" spans="2:40" s="17" customFormat="1" x14ac:dyDescent="0.3">
      <c r="B45" s="23">
        <v>40695</v>
      </c>
      <c r="C45" s="13">
        <v>2014819.15</v>
      </c>
      <c r="D45" s="13">
        <v>0</v>
      </c>
      <c r="E45" s="13">
        <v>3511594.44</v>
      </c>
      <c r="F45" s="13">
        <v>12608.640000000001</v>
      </c>
      <c r="G45" s="13">
        <f t="shared" si="6"/>
        <v>5539022.2299999995</v>
      </c>
      <c r="H45" s="13">
        <v>3894111.07</v>
      </c>
      <c r="I45" s="13">
        <v>950360.64</v>
      </c>
      <c r="J45" s="13">
        <v>1150370.3700000001</v>
      </c>
      <c r="K45" s="13">
        <f t="shared" si="1"/>
        <v>11533864.309999999</v>
      </c>
      <c r="L45" s="13">
        <v>0</v>
      </c>
      <c r="M45" s="13">
        <v>0</v>
      </c>
      <c r="N45" s="13">
        <v>34167696.399999999</v>
      </c>
      <c r="O45" s="13">
        <v>0</v>
      </c>
      <c r="P45" s="13">
        <v>182134.48</v>
      </c>
      <c r="Q45" s="13">
        <v>695851.15</v>
      </c>
      <c r="R45" s="13">
        <v>0</v>
      </c>
      <c r="S45" s="13">
        <v>139317.12</v>
      </c>
      <c r="T45" s="13">
        <v>0</v>
      </c>
      <c r="U45" s="13">
        <v>89277.95</v>
      </c>
      <c r="V45" s="13">
        <v>0</v>
      </c>
      <c r="W45" s="13">
        <f t="shared" si="8"/>
        <v>35274277.099999994</v>
      </c>
      <c r="X45" s="13">
        <v>585430.85</v>
      </c>
      <c r="Y45" s="13">
        <v>0</v>
      </c>
      <c r="Z45" s="13">
        <v>274987.87</v>
      </c>
      <c r="AA45" s="13">
        <v>0</v>
      </c>
      <c r="AB45" s="13">
        <f t="shared" si="2"/>
        <v>860418.72</v>
      </c>
      <c r="AC45" s="13">
        <v>11217184.970000001</v>
      </c>
      <c r="AD45" s="13">
        <v>19464451.5</v>
      </c>
      <c r="AE45" s="13">
        <f>12733862</f>
        <v>12733862</v>
      </c>
      <c r="AF45" s="13">
        <f t="shared" si="3"/>
        <v>43415498.469999999</v>
      </c>
      <c r="AG45" s="13">
        <v>0</v>
      </c>
      <c r="AH45" s="13">
        <v>2100000</v>
      </c>
      <c r="AI45" s="14"/>
      <c r="AJ45" s="13">
        <f t="shared" si="7"/>
        <v>11533864.309999999</v>
      </c>
      <c r="AK45" s="15">
        <f t="shared" si="4"/>
        <v>36134695.819999993</v>
      </c>
      <c r="AL45" s="19">
        <v>-5684</v>
      </c>
      <c r="AM45" s="8"/>
      <c r="AN45" s="13">
        <f t="shared" si="5"/>
        <v>93178374.599999994</v>
      </c>
    </row>
    <row r="46" spans="2:40" s="17" customFormat="1" x14ac:dyDescent="0.3">
      <c r="B46" s="24">
        <v>40725</v>
      </c>
      <c r="C46" s="13">
        <v>2069651.07</v>
      </c>
      <c r="D46" s="13">
        <v>0</v>
      </c>
      <c r="E46" s="13">
        <v>2889106.23</v>
      </c>
      <c r="F46" s="13">
        <v>393093.73999999993</v>
      </c>
      <c r="G46" s="13">
        <f t="shared" si="6"/>
        <v>5351851.04</v>
      </c>
      <c r="H46" s="13">
        <v>3557332.62</v>
      </c>
      <c r="I46" s="13">
        <v>965251.53</v>
      </c>
      <c r="J46" s="13">
        <v>1298020.8400000001</v>
      </c>
      <c r="K46" s="13">
        <f t="shared" si="1"/>
        <v>11172456.029999999</v>
      </c>
      <c r="L46" s="13">
        <v>0</v>
      </c>
      <c r="M46" s="13">
        <v>0</v>
      </c>
      <c r="N46" s="13">
        <v>51539430.329999998</v>
      </c>
      <c r="O46" s="13">
        <v>9488339.5700000003</v>
      </c>
      <c r="P46" s="13">
        <v>177316.95</v>
      </c>
      <c r="Q46" s="13">
        <v>735225.33</v>
      </c>
      <c r="R46" s="13">
        <v>1266775.6399999999</v>
      </c>
      <c r="S46" s="13">
        <v>134959.39000000001</v>
      </c>
      <c r="T46" s="13">
        <v>0</v>
      </c>
      <c r="U46" s="13">
        <v>84069.08</v>
      </c>
      <c r="V46" s="13">
        <v>0</v>
      </c>
      <c r="W46" s="13">
        <f t="shared" si="8"/>
        <v>63426116.289999999</v>
      </c>
      <c r="X46" s="13">
        <v>502873.86</v>
      </c>
      <c r="Y46" s="13">
        <v>0</v>
      </c>
      <c r="Z46" s="13">
        <v>316063.71000000002</v>
      </c>
      <c r="AA46" s="13">
        <v>0</v>
      </c>
      <c r="AB46" s="13">
        <f t="shared" si="2"/>
        <v>818937.57000000007</v>
      </c>
      <c r="AC46" s="13">
        <v>11217184.970000001</v>
      </c>
      <c r="AD46" s="13">
        <v>19464451.5</v>
      </c>
      <c r="AE46" s="13">
        <v>50300000</v>
      </c>
      <c r="AF46" s="13">
        <f t="shared" si="3"/>
        <v>80981636.469999999</v>
      </c>
      <c r="AG46" s="13">
        <v>0</v>
      </c>
      <c r="AH46" s="13">
        <f>2100000</f>
        <v>2100000</v>
      </c>
      <c r="AI46" s="14"/>
      <c r="AJ46" s="13">
        <f t="shared" si="7"/>
        <v>11172456.029999999</v>
      </c>
      <c r="AK46" s="15">
        <f t="shared" si="4"/>
        <v>64245053.859999999</v>
      </c>
      <c r="AL46" s="19">
        <v>0</v>
      </c>
      <c r="AM46" s="8"/>
      <c r="AN46" s="13">
        <f t="shared" si="5"/>
        <v>158499146.36000001</v>
      </c>
    </row>
    <row r="47" spans="2:40" s="17" customFormat="1" x14ac:dyDescent="0.3">
      <c r="B47" s="25">
        <v>40756</v>
      </c>
      <c r="C47" s="13">
        <v>1768463.43</v>
      </c>
      <c r="D47" s="13">
        <v>0</v>
      </c>
      <c r="E47" s="13">
        <v>2263581.69</v>
      </c>
      <c r="F47" s="13">
        <v>436118.94</v>
      </c>
      <c r="G47" s="13">
        <f t="shared" si="6"/>
        <v>4468164.0600000005</v>
      </c>
      <c r="H47" s="13">
        <v>4505795.49</v>
      </c>
      <c r="I47" s="13">
        <v>646659.73</v>
      </c>
      <c r="J47" s="13">
        <v>12567428.279999999</v>
      </c>
      <c r="K47" s="13">
        <f t="shared" si="1"/>
        <v>22188047.560000002</v>
      </c>
      <c r="L47" s="13">
        <v>0</v>
      </c>
      <c r="M47" s="13">
        <v>0</v>
      </c>
      <c r="N47" s="13">
        <v>47177487.170000002</v>
      </c>
      <c r="O47" s="13">
        <v>0</v>
      </c>
      <c r="P47" s="13">
        <v>176612.68</v>
      </c>
      <c r="Q47" s="13">
        <v>761949.59</v>
      </c>
      <c r="R47" s="13">
        <v>0</v>
      </c>
      <c r="S47" s="13">
        <v>119739.8</v>
      </c>
      <c r="T47" s="13">
        <v>0</v>
      </c>
      <c r="U47" s="13">
        <v>55150.1</v>
      </c>
      <c r="V47" s="13">
        <v>0</v>
      </c>
      <c r="W47" s="13">
        <f t="shared" si="8"/>
        <v>48290939.340000004</v>
      </c>
      <c r="X47" s="13">
        <v>436360.21</v>
      </c>
      <c r="Y47" s="13">
        <v>0</v>
      </c>
      <c r="Z47" s="13">
        <v>280258.26</v>
      </c>
      <c r="AA47" s="13">
        <v>0</v>
      </c>
      <c r="AB47" s="13">
        <f t="shared" si="2"/>
        <v>716618.47</v>
      </c>
      <c r="AC47" s="13">
        <v>11217184.970000001</v>
      </c>
      <c r="AD47" s="13">
        <v>19464451.5</v>
      </c>
      <c r="AE47" s="13">
        <v>0</v>
      </c>
      <c r="AF47" s="13">
        <f t="shared" si="3"/>
        <v>30681636.469999999</v>
      </c>
      <c r="AG47" s="13">
        <v>0</v>
      </c>
      <c r="AH47" s="13">
        <f>50000000+2100000</f>
        <v>52100000</v>
      </c>
      <c r="AI47" s="14"/>
      <c r="AJ47" s="13">
        <f t="shared" si="7"/>
        <v>22188047.560000002</v>
      </c>
      <c r="AK47" s="15">
        <f t="shared" si="4"/>
        <v>49007557.810000002</v>
      </c>
      <c r="AL47" s="19">
        <v>-16412</v>
      </c>
      <c r="AM47" s="8"/>
      <c r="AN47" s="13">
        <f t="shared" si="5"/>
        <v>153960829.84</v>
      </c>
    </row>
    <row r="48" spans="2:40" s="17" customFormat="1" x14ac:dyDescent="0.3">
      <c r="B48" s="26">
        <v>40787</v>
      </c>
      <c r="C48" s="13">
        <v>1166136.33</v>
      </c>
      <c r="D48" s="13">
        <v>0</v>
      </c>
      <c r="E48" s="13">
        <v>3019123.72</v>
      </c>
      <c r="F48" s="13">
        <v>309347.87</v>
      </c>
      <c r="G48" s="13">
        <f t="shared" si="6"/>
        <v>4494607.92</v>
      </c>
      <c r="H48" s="13">
        <v>2726850.87</v>
      </c>
      <c r="I48" s="13">
        <v>1472600.72</v>
      </c>
      <c r="J48" s="13">
        <v>4764762.97</v>
      </c>
      <c r="K48" s="13">
        <f t="shared" si="1"/>
        <v>13458822.48</v>
      </c>
      <c r="L48" s="13">
        <v>0</v>
      </c>
      <c r="M48" s="13">
        <v>0</v>
      </c>
      <c r="N48" s="13">
        <v>26699149.02</v>
      </c>
      <c r="O48" s="13">
        <v>8311285.9900000002</v>
      </c>
      <c r="P48" s="13">
        <v>305083.90999999997</v>
      </c>
      <c r="Q48" s="13">
        <v>711392.58</v>
      </c>
      <c r="R48" s="13">
        <v>856080.2</v>
      </c>
      <c r="S48" s="13">
        <v>131849.39000000001</v>
      </c>
      <c r="T48" s="13">
        <v>0</v>
      </c>
      <c r="U48" s="13">
        <v>92271.78</v>
      </c>
      <c r="V48" s="13">
        <v>0</v>
      </c>
      <c r="W48" s="13">
        <f t="shared" si="8"/>
        <v>37107112.869999997</v>
      </c>
      <c r="X48" s="13">
        <v>1286941.05</v>
      </c>
      <c r="Y48" s="13">
        <v>0</v>
      </c>
      <c r="Z48" s="13">
        <v>263828.13</v>
      </c>
      <c r="AA48" s="13">
        <v>0</v>
      </c>
      <c r="AB48" s="13">
        <f t="shared" si="2"/>
        <v>1550769.1800000002</v>
      </c>
      <c r="AC48" s="13">
        <v>11217184.970000001</v>
      </c>
      <c r="AD48" s="13">
        <v>19464451.5</v>
      </c>
      <c r="AE48" s="13">
        <v>8658409.8000000007</v>
      </c>
      <c r="AF48" s="13">
        <f t="shared" si="3"/>
        <v>39340046.269999996</v>
      </c>
      <c r="AG48" s="13">
        <v>0</v>
      </c>
      <c r="AH48" s="13">
        <v>3366561</v>
      </c>
      <c r="AI48" s="14"/>
      <c r="AJ48" s="13">
        <f t="shared" si="7"/>
        <v>13458822.48</v>
      </c>
      <c r="AK48" s="15">
        <f t="shared" si="4"/>
        <v>38657882.049999997</v>
      </c>
      <c r="AL48" s="19">
        <v>-282346.68</v>
      </c>
      <c r="AM48" s="8"/>
      <c r="AN48" s="13">
        <f t="shared" si="5"/>
        <v>94540965.11999999</v>
      </c>
    </row>
    <row r="49" spans="2:40" s="17" customFormat="1" x14ac:dyDescent="0.3">
      <c r="B49" s="27">
        <v>40817</v>
      </c>
      <c r="C49" s="13">
        <v>1250940.51</v>
      </c>
      <c r="D49" s="13">
        <v>0</v>
      </c>
      <c r="E49" s="13">
        <v>2247178.61</v>
      </c>
      <c r="F49" s="13">
        <v>1720523.4700000002</v>
      </c>
      <c r="G49" s="13">
        <f t="shared" si="6"/>
        <v>5218642.59</v>
      </c>
      <c r="H49" s="13">
        <v>2302914.88</v>
      </c>
      <c r="I49" s="13">
        <v>1621430.18</v>
      </c>
      <c r="J49" s="13">
        <v>4876549.04</v>
      </c>
      <c r="K49" s="13">
        <f t="shared" si="1"/>
        <v>14019536.690000001</v>
      </c>
      <c r="L49" s="13">
        <v>0</v>
      </c>
      <c r="M49" s="13">
        <v>0</v>
      </c>
      <c r="N49" s="13">
        <v>61099221.859999999</v>
      </c>
      <c r="O49" s="13">
        <v>4678341.1500000004</v>
      </c>
      <c r="P49" s="13">
        <v>176612.68</v>
      </c>
      <c r="Q49" s="13">
        <v>733847.32</v>
      </c>
      <c r="R49" s="13">
        <v>579053.57999999996</v>
      </c>
      <c r="S49" s="13">
        <v>112265.21</v>
      </c>
      <c r="T49" s="13">
        <v>0</v>
      </c>
      <c r="U49" s="13">
        <v>80481.210000000006</v>
      </c>
      <c r="V49" s="13">
        <v>0</v>
      </c>
      <c r="W49" s="13">
        <f t="shared" si="8"/>
        <v>67459823.00999999</v>
      </c>
      <c r="X49" s="13">
        <v>415155.62</v>
      </c>
      <c r="Y49" s="13">
        <v>0</v>
      </c>
      <c r="Z49" s="13">
        <v>313287.48</v>
      </c>
      <c r="AA49" s="13">
        <v>0</v>
      </c>
      <c r="AB49" s="13">
        <f t="shared" si="2"/>
        <v>728443.1</v>
      </c>
      <c r="AC49" s="13">
        <v>11217184.970000001</v>
      </c>
      <c r="AD49" s="13">
        <v>19464451.5</v>
      </c>
      <c r="AE49" s="13">
        <f>11344371.21</f>
        <v>11344371.210000001</v>
      </c>
      <c r="AF49" s="13">
        <f t="shared" si="3"/>
        <v>42026007.68</v>
      </c>
      <c r="AG49" s="13">
        <v>0</v>
      </c>
      <c r="AH49" s="13">
        <v>250350000</v>
      </c>
      <c r="AI49" s="14"/>
      <c r="AJ49" s="13">
        <f t="shared" si="7"/>
        <v>14019536.690000001</v>
      </c>
      <c r="AK49" s="15">
        <f t="shared" si="4"/>
        <v>68188266.109999985</v>
      </c>
      <c r="AL49" s="19">
        <v>0</v>
      </c>
      <c r="AM49" s="8"/>
      <c r="AN49" s="13">
        <f t="shared" si="5"/>
        <v>374583810.48000002</v>
      </c>
    </row>
    <row r="50" spans="2:40" s="17" customFormat="1" x14ac:dyDescent="0.3">
      <c r="B50" s="28">
        <v>40848</v>
      </c>
      <c r="C50" s="13">
        <v>1310156.72</v>
      </c>
      <c r="D50" s="13">
        <v>0</v>
      </c>
      <c r="E50" s="13">
        <v>2742662.33</v>
      </c>
      <c r="F50" s="13">
        <v>711147.75</v>
      </c>
      <c r="G50" s="13">
        <f t="shared" si="6"/>
        <v>4763966.8</v>
      </c>
      <c r="H50" s="13">
        <v>2272333.89</v>
      </c>
      <c r="I50" s="13">
        <v>2542504.2999999998</v>
      </c>
      <c r="J50" s="13">
        <v>2495157.85</v>
      </c>
      <c r="K50" s="13">
        <f t="shared" si="1"/>
        <v>12073962.839999998</v>
      </c>
      <c r="L50" s="13">
        <v>0</v>
      </c>
      <c r="M50" s="13">
        <v>0</v>
      </c>
      <c r="N50" s="13">
        <v>75832216.799999997</v>
      </c>
      <c r="O50" s="13">
        <v>4332769.49</v>
      </c>
      <c r="P50" s="13">
        <v>291464.38</v>
      </c>
      <c r="Q50" s="13">
        <v>702139.06</v>
      </c>
      <c r="R50" s="13">
        <v>404880.58</v>
      </c>
      <c r="S50" s="13">
        <v>133348.4</v>
      </c>
      <c r="T50" s="13">
        <v>0</v>
      </c>
      <c r="U50" s="13">
        <v>64661.48</v>
      </c>
      <c r="V50" s="13">
        <v>0</v>
      </c>
      <c r="W50" s="13">
        <f t="shared" si="8"/>
        <v>81761480.189999998</v>
      </c>
      <c r="X50" s="13">
        <v>422832.11</v>
      </c>
      <c r="Y50" s="13">
        <v>0</v>
      </c>
      <c r="Z50" s="13">
        <v>258445.11</v>
      </c>
      <c r="AA50" s="13">
        <v>0</v>
      </c>
      <c r="AB50" s="13">
        <f t="shared" si="2"/>
        <v>681277.22</v>
      </c>
      <c r="AC50" s="13">
        <v>11217184.869999999</v>
      </c>
      <c r="AD50" s="13">
        <v>19464451.5</v>
      </c>
      <c r="AE50" s="13">
        <v>31115243.390000001</v>
      </c>
      <c r="AF50" s="13">
        <f t="shared" si="3"/>
        <v>61796879.759999998</v>
      </c>
      <c r="AG50" s="13">
        <v>0</v>
      </c>
      <c r="AH50" s="13">
        <v>0</v>
      </c>
      <c r="AI50" s="14"/>
      <c r="AJ50" s="13">
        <f t="shared" si="7"/>
        <v>12073962.839999998</v>
      </c>
      <c r="AK50" s="15">
        <f t="shared" si="4"/>
        <v>82442757.409999996</v>
      </c>
      <c r="AL50" s="19">
        <v>0</v>
      </c>
      <c r="AM50" s="8"/>
      <c r="AN50" s="13">
        <f t="shared" si="5"/>
        <v>156313600.00999999</v>
      </c>
    </row>
    <row r="51" spans="2:40" s="17" customFormat="1" x14ac:dyDescent="0.3">
      <c r="B51" s="29">
        <v>40878</v>
      </c>
      <c r="C51" s="13">
        <v>1932593.71</v>
      </c>
      <c r="D51" s="13">
        <v>0</v>
      </c>
      <c r="E51" s="13">
        <v>3896470.45</v>
      </c>
      <c r="F51" s="13">
        <v>59248.479999999996</v>
      </c>
      <c r="G51" s="13">
        <f t="shared" si="6"/>
        <v>5888312.6400000006</v>
      </c>
      <c r="H51" s="13">
        <v>3768465.92</v>
      </c>
      <c r="I51" s="13">
        <v>12458150.970000001</v>
      </c>
      <c r="J51" s="13">
        <v>19044145.219999999</v>
      </c>
      <c r="K51" s="13">
        <f t="shared" si="1"/>
        <v>41159074.75</v>
      </c>
      <c r="L51" s="13">
        <v>0</v>
      </c>
      <c r="M51" s="13">
        <v>0</v>
      </c>
      <c r="N51" s="13">
        <v>358092057</v>
      </c>
      <c r="O51" s="13">
        <v>6458617.1699999999</v>
      </c>
      <c r="P51" s="13">
        <v>269270.34000000003</v>
      </c>
      <c r="Q51" s="13">
        <v>719778.24</v>
      </c>
      <c r="R51" s="13">
        <v>476688.25</v>
      </c>
      <c r="S51" s="13">
        <v>133599.79</v>
      </c>
      <c r="T51" s="13">
        <v>0</v>
      </c>
      <c r="U51" s="13">
        <v>90536.59</v>
      </c>
      <c r="V51" s="13">
        <v>0</v>
      </c>
      <c r="W51" s="13">
        <f t="shared" si="8"/>
        <v>366240547.38</v>
      </c>
      <c r="X51" s="13">
        <v>684057.37</v>
      </c>
      <c r="Y51" s="13">
        <v>0</v>
      </c>
      <c r="Z51" s="13">
        <v>398121.88</v>
      </c>
      <c r="AA51" s="13">
        <v>0</v>
      </c>
      <c r="AB51" s="13">
        <f t="shared" si="2"/>
        <v>1082179.25</v>
      </c>
      <c r="AC51" s="13">
        <v>0</v>
      </c>
      <c r="AD51" s="13">
        <v>38928903.810000002</v>
      </c>
      <c r="AE51" s="13">
        <f>4594369.44</f>
        <v>4594369.4400000004</v>
      </c>
      <c r="AF51" s="13">
        <f t="shared" si="3"/>
        <v>43523273.25</v>
      </c>
      <c r="AG51" s="13">
        <v>2403508</v>
      </c>
      <c r="AH51" s="13">
        <f>256795422.36-246000000</f>
        <v>10795422.360000014</v>
      </c>
      <c r="AI51" s="14"/>
      <c r="AJ51" s="13">
        <f t="shared" si="7"/>
        <v>41159074.75</v>
      </c>
      <c r="AK51" s="15">
        <f t="shared" si="4"/>
        <v>367322726.63</v>
      </c>
      <c r="AL51" s="19">
        <v>-1399</v>
      </c>
      <c r="AM51" s="8"/>
      <c r="AN51" s="13">
        <f t="shared" si="5"/>
        <v>465202605.99000001</v>
      </c>
    </row>
    <row r="52" spans="2:40" s="17" customFormat="1" x14ac:dyDescent="0.3">
      <c r="B52" s="12">
        <v>40909</v>
      </c>
      <c r="C52" s="13">
        <v>59552519.850000001</v>
      </c>
      <c r="D52" s="13">
        <v>0</v>
      </c>
      <c r="E52" s="13">
        <v>1767375.59</v>
      </c>
      <c r="F52" s="13">
        <v>215380.87999999998</v>
      </c>
      <c r="G52" s="13">
        <f t="shared" si="6"/>
        <v>61535276.320000008</v>
      </c>
      <c r="H52" s="13">
        <v>4883495.71</v>
      </c>
      <c r="I52" s="13">
        <v>194840.5</v>
      </c>
      <c r="J52" s="13">
        <v>2015087.5</v>
      </c>
      <c r="K52" s="13">
        <f t="shared" si="1"/>
        <v>68628700.030000001</v>
      </c>
      <c r="L52" s="13">
        <v>0</v>
      </c>
      <c r="M52" s="13">
        <v>0</v>
      </c>
      <c r="N52" s="13">
        <v>52639726.259999998</v>
      </c>
      <c r="O52" s="13">
        <v>6831233.7199999997</v>
      </c>
      <c r="P52" s="13">
        <v>178281.02</v>
      </c>
      <c r="Q52" s="13">
        <v>706853.36</v>
      </c>
      <c r="R52" s="13">
        <v>517438.39</v>
      </c>
      <c r="S52" s="13">
        <v>0</v>
      </c>
      <c r="T52" s="13">
        <v>96555.05</v>
      </c>
      <c r="U52" s="13">
        <v>0</v>
      </c>
      <c r="V52" s="13">
        <v>0</v>
      </c>
      <c r="W52" s="13">
        <f t="shared" si="8"/>
        <v>60970087.799999997</v>
      </c>
      <c r="X52" s="13">
        <v>720816</v>
      </c>
      <c r="Y52" s="13">
        <v>0</v>
      </c>
      <c r="Z52" s="13">
        <v>539132.77</v>
      </c>
      <c r="AA52" s="13">
        <v>0</v>
      </c>
      <c r="AB52" s="13">
        <f t="shared" si="2"/>
        <v>1259948.77</v>
      </c>
      <c r="AC52" s="13">
        <v>0</v>
      </c>
      <c r="AD52" s="13">
        <v>0</v>
      </c>
      <c r="AE52" s="13">
        <v>0</v>
      </c>
      <c r="AF52" s="13">
        <f t="shared" si="3"/>
        <v>0</v>
      </c>
      <c r="AG52" s="13">
        <v>0</v>
      </c>
      <c r="AH52" s="13">
        <v>0</v>
      </c>
      <c r="AI52" s="14"/>
      <c r="AJ52" s="13">
        <f t="shared" si="7"/>
        <v>68628700.030000001</v>
      </c>
      <c r="AK52" s="15">
        <f t="shared" si="4"/>
        <v>62230036.57</v>
      </c>
      <c r="AL52" s="19">
        <v>-109182.35</v>
      </c>
      <c r="AM52" s="8"/>
      <c r="AN52" s="13">
        <f t="shared" si="5"/>
        <v>130749554.25</v>
      </c>
    </row>
    <row r="53" spans="2:40" s="17" customFormat="1" x14ac:dyDescent="0.3">
      <c r="B53" s="18">
        <v>40940</v>
      </c>
      <c r="C53" s="13">
        <v>8787591.8599999994</v>
      </c>
      <c r="D53" s="13">
        <v>0</v>
      </c>
      <c r="E53" s="13">
        <v>2220605.5</v>
      </c>
      <c r="F53" s="13">
        <v>182224.72</v>
      </c>
      <c r="G53" s="13">
        <f t="shared" si="6"/>
        <v>11190422.08</v>
      </c>
      <c r="H53" s="13">
        <v>3093822.5</v>
      </c>
      <c r="I53" s="13">
        <v>1151618.6599999999</v>
      </c>
      <c r="J53" s="13">
        <v>4945700.67</v>
      </c>
      <c r="K53" s="13">
        <f t="shared" si="1"/>
        <v>20381563.91</v>
      </c>
      <c r="L53" s="13">
        <v>0</v>
      </c>
      <c r="M53" s="13">
        <v>0</v>
      </c>
      <c r="N53" s="13">
        <v>73789123.090000004</v>
      </c>
      <c r="O53" s="13">
        <v>10041259.560000001</v>
      </c>
      <c r="P53" s="13">
        <v>350421.49</v>
      </c>
      <c r="Q53" s="13">
        <v>710040.28</v>
      </c>
      <c r="R53" s="13">
        <v>585855.9</v>
      </c>
      <c r="S53" s="13">
        <v>135592.24</v>
      </c>
      <c r="T53" s="13">
        <v>0</v>
      </c>
      <c r="U53" s="13">
        <v>84325.34</v>
      </c>
      <c r="V53" s="13">
        <v>0</v>
      </c>
      <c r="W53" s="13">
        <f t="shared" si="8"/>
        <v>85696617.900000006</v>
      </c>
      <c r="X53" s="13">
        <v>0</v>
      </c>
      <c r="Y53" s="13">
        <v>0</v>
      </c>
      <c r="Z53" s="13">
        <v>298127.88</v>
      </c>
      <c r="AA53" s="13">
        <v>0</v>
      </c>
      <c r="AB53" s="13">
        <f t="shared" si="2"/>
        <v>298127.88</v>
      </c>
      <c r="AC53" s="13">
        <v>6535823.8899999997</v>
      </c>
      <c r="AD53" s="13">
        <v>20841016.059999999</v>
      </c>
      <c r="AE53" s="13">
        <v>0</v>
      </c>
      <c r="AF53" s="13">
        <f t="shared" si="3"/>
        <v>27376839.949999999</v>
      </c>
      <c r="AG53" s="13">
        <v>0</v>
      </c>
      <c r="AH53" s="13">
        <f>55000000+2100000</f>
        <v>57100000</v>
      </c>
      <c r="AI53" s="14"/>
      <c r="AJ53" s="13">
        <f t="shared" si="7"/>
        <v>20381563.91</v>
      </c>
      <c r="AK53" s="15">
        <f t="shared" si="4"/>
        <v>85994745.780000001</v>
      </c>
      <c r="AL53" s="19">
        <v>-7529.6</v>
      </c>
      <c r="AM53" s="8"/>
      <c r="AN53" s="13">
        <f t="shared" si="5"/>
        <v>190845620.03999999</v>
      </c>
    </row>
    <row r="54" spans="2:40" s="17" customFormat="1" x14ac:dyDescent="0.3">
      <c r="B54" s="20">
        <v>40969</v>
      </c>
      <c r="C54" s="13">
        <v>7500492.1799999997</v>
      </c>
      <c r="D54" s="13">
        <v>0</v>
      </c>
      <c r="E54" s="13">
        <v>2402524.09</v>
      </c>
      <c r="F54" s="13">
        <v>21064451.5</v>
      </c>
      <c r="G54" s="13">
        <f t="shared" si="6"/>
        <v>30967467.77</v>
      </c>
      <c r="H54" s="13">
        <v>3328903.96</v>
      </c>
      <c r="I54" s="13">
        <v>1154196.5</v>
      </c>
      <c r="J54" s="13">
        <v>1868200.66</v>
      </c>
      <c r="K54" s="13">
        <f t="shared" si="1"/>
        <v>37318768.889999993</v>
      </c>
      <c r="L54" s="13">
        <v>0</v>
      </c>
      <c r="M54" s="13">
        <v>0</v>
      </c>
      <c r="N54" s="13">
        <v>160113260.08000001</v>
      </c>
      <c r="O54" s="13">
        <v>5637245.0300000003</v>
      </c>
      <c r="P54" s="13">
        <v>173808.84</v>
      </c>
      <c r="Q54" s="13">
        <v>0</v>
      </c>
      <c r="R54" s="13">
        <v>764931.14</v>
      </c>
      <c r="S54" s="13">
        <v>134586.69</v>
      </c>
      <c r="T54" s="13">
        <v>91006.2</v>
      </c>
      <c r="U54" s="13">
        <v>719255.5</v>
      </c>
      <c r="V54" s="13">
        <v>0</v>
      </c>
      <c r="W54" s="13">
        <f t="shared" si="8"/>
        <v>167634093.47999999</v>
      </c>
      <c r="X54" s="13">
        <v>0</v>
      </c>
      <c r="Y54" s="13">
        <v>0</v>
      </c>
      <c r="Z54" s="13">
        <v>407183.61</v>
      </c>
      <c r="AA54" s="13">
        <v>0</v>
      </c>
      <c r="AB54" s="13">
        <f t="shared" si="2"/>
        <v>407183.61</v>
      </c>
      <c r="AC54" s="13">
        <v>6535823.8899999997</v>
      </c>
      <c r="AD54" s="13">
        <v>20841016.059999999</v>
      </c>
      <c r="AE54" s="13">
        <v>0</v>
      </c>
      <c r="AF54" s="13">
        <f t="shared" si="3"/>
        <v>27376839.949999999</v>
      </c>
      <c r="AG54" s="13">
        <v>0</v>
      </c>
      <c r="AH54" s="13">
        <f>-55000000+3213000</f>
        <v>-51787000</v>
      </c>
      <c r="AI54" s="14"/>
      <c r="AJ54" s="13">
        <f t="shared" si="7"/>
        <v>37318768.889999993</v>
      </c>
      <c r="AK54" s="15">
        <f t="shared" si="4"/>
        <v>168041277.09</v>
      </c>
      <c r="AL54" s="19">
        <v>-317176.03999999998</v>
      </c>
      <c r="AM54" s="8"/>
      <c r="AN54" s="13">
        <f t="shared" si="5"/>
        <v>180632709.88999999</v>
      </c>
    </row>
    <row r="55" spans="2:40" s="17" customFormat="1" x14ac:dyDescent="0.3">
      <c r="B55" s="21">
        <v>41000</v>
      </c>
      <c r="C55" s="13">
        <v>2850927.9</v>
      </c>
      <c r="D55" s="13">
        <v>0</v>
      </c>
      <c r="E55" s="13">
        <v>2534517.09</v>
      </c>
      <c r="F55" s="13">
        <v>86520.21</v>
      </c>
      <c r="G55" s="13">
        <f t="shared" si="6"/>
        <v>5471965.2000000002</v>
      </c>
      <c r="H55" s="13">
        <v>3424877.58</v>
      </c>
      <c r="I55" s="13">
        <v>1656382.96</v>
      </c>
      <c r="J55" s="13">
        <v>1191514.82</v>
      </c>
      <c r="K55" s="13">
        <f t="shared" si="1"/>
        <v>11744740.560000002</v>
      </c>
      <c r="L55" s="13">
        <v>0</v>
      </c>
      <c r="M55" s="13">
        <v>0</v>
      </c>
      <c r="N55" s="13">
        <v>76149011.700000003</v>
      </c>
      <c r="O55" s="13">
        <v>5990167.3700000001</v>
      </c>
      <c r="P55" s="13">
        <v>173808.84</v>
      </c>
      <c r="Q55" s="13">
        <v>685636.8</v>
      </c>
      <c r="R55" s="13">
        <v>278599.69</v>
      </c>
      <c r="S55" s="13">
        <v>134369.07</v>
      </c>
      <c r="T55" s="13">
        <v>0</v>
      </c>
      <c r="U55" s="13">
        <v>92834.45</v>
      </c>
      <c r="V55" s="13">
        <v>0</v>
      </c>
      <c r="W55" s="13">
        <f t="shared" si="8"/>
        <v>83504427.920000002</v>
      </c>
      <c r="X55" s="13">
        <v>0</v>
      </c>
      <c r="Y55" s="13">
        <v>0</v>
      </c>
      <c r="Z55" s="13">
        <v>403934.03</v>
      </c>
      <c r="AA55" s="13">
        <v>0</v>
      </c>
      <c r="AB55" s="13">
        <f t="shared" si="2"/>
        <v>403934.03</v>
      </c>
      <c r="AC55" s="13">
        <v>6535823.8899999997</v>
      </c>
      <c r="AD55" s="13">
        <v>20841016.059999999</v>
      </c>
      <c r="AE55" s="13">
        <v>0</v>
      </c>
      <c r="AF55" s="13">
        <f t="shared" si="3"/>
        <v>27376839.949999999</v>
      </c>
      <c r="AG55" s="13">
        <v>0</v>
      </c>
      <c r="AH55" s="13">
        <v>1071000</v>
      </c>
      <c r="AI55" s="14"/>
      <c r="AJ55" s="13">
        <f t="shared" si="7"/>
        <v>11744740.560000002</v>
      </c>
      <c r="AK55" s="15">
        <f t="shared" si="4"/>
        <v>83908361.950000003</v>
      </c>
      <c r="AL55" s="19">
        <v>-31021.759999999998</v>
      </c>
      <c r="AM55" s="8"/>
      <c r="AN55" s="13">
        <f t="shared" si="5"/>
        <v>124069920.7</v>
      </c>
    </row>
    <row r="56" spans="2:40" s="17" customFormat="1" x14ac:dyDescent="0.3">
      <c r="B56" s="22">
        <v>41030</v>
      </c>
      <c r="C56" s="13">
        <v>2403960.7400000002</v>
      </c>
      <c r="D56" s="13">
        <v>0</v>
      </c>
      <c r="E56" s="13">
        <v>2733295.96</v>
      </c>
      <c r="F56" s="13">
        <v>174847.77000000002</v>
      </c>
      <c r="G56" s="13">
        <f t="shared" si="6"/>
        <v>5312104.4700000007</v>
      </c>
      <c r="H56" s="13">
        <v>7290366.5800000001</v>
      </c>
      <c r="I56" s="13">
        <v>1340971.47</v>
      </c>
      <c r="J56" s="13">
        <v>5197653.3899999997</v>
      </c>
      <c r="K56" s="13">
        <f t="shared" si="1"/>
        <v>19141095.91</v>
      </c>
      <c r="L56" s="13">
        <v>0</v>
      </c>
      <c r="M56" s="13">
        <v>0</v>
      </c>
      <c r="N56" s="13">
        <v>41472660.32</v>
      </c>
      <c r="O56" s="13">
        <v>5836585.0899999999</v>
      </c>
      <c r="P56" s="13">
        <v>386145.98</v>
      </c>
      <c r="Q56" s="13">
        <v>636420.41</v>
      </c>
      <c r="R56" s="13">
        <v>328475.17</v>
      </c>
      <c r="S56" s="13">
        <v>0</v>
      </c>
      <c r="T56" s="13">
        <v>150024.26</v>
      </c>
      <c r="U56" s="13">
        <v>77425.34</v>
      </c>
      <c r="V56" s="13">
        <v>0</v>
      </c>
      <c r="W56" s="13">
        <f t="shared" si="8"/>
        <v>48887736.569999993</v>
      </c>
      <c r="X56" s="13">
        <v>0</v>
      </c>
      <c r="Y56" s="13">
        <v>0</v>
      </c>
      <c r="Z56" s="13">
        <v>482784.33</v>
      </c>
      <c r="AA56" s="13">
        <v>0</v>
      </c>
      <c r="AB56" s="13">
        <f t="shared" si="2"/>
        <v>482784.33</v>
      </c>
      <c r="AC56" s="13">
        <v>3745642.36</v>
      </c>
      <c r="AD56" s="13">
        <v>20841016.059999999</v>
      </c>
      <c r="AE56" s="13">
        <v>201120000</v>
      </c>
      <c r="AF56" s="13">
        <f t="shared" si="3"/>
        <v>225706658.41999999</v>
      </c>
      <c r="AG56" s="13">
        <v>0</v>
      </c>
      <c r="AH56" s="13">
        <v>0</v>
      </c>
      <c r="AI56" s="14"/>
      <c r="AJ56" s="13">
        <f t="shared" si="7"/>
        <v>19141095.91</v>
      </c>
      <c r="AK56" s="15">
        <f t="shared" si="4"/>
        <v>49370520.899999991</v>
      </c>
      <c r="AL56" s="19">
        <v>-1002349.24</v>
      </c>
      <c r="AM56" s="8"/>
      <c r="AN56" s="13">
        <f t="shared" si="5"/>
        <v>293215925.98999995</v>
      </c>
    </row>
    <row r="57" spans="2:40" s="17" customFormat="1" x14ac:dyDescent="0.3">
      <c r="B57" s="23">
        <v>41061</v>
      </c>
      <c r="C57" s="13">
        <v>1917566.53</v>
      </c>
      <c r="D57" s="13">
        <v>0</v>
      </c>
      <c r="E57" s="13">
        <v>2485497.29</v>
      </c>
      <c r="F57" s="13">
        <v>243284.32</v>
      </c>
      <c r="G57" s="13">
        <f t="shared" si="6"/>
        <v>4646348.1400000006</v>
      </c>
      <c r="H57" s="13">
        <v>3024536.61</v>
      </c>
      <c r="I57" s="13">
        <v>1467674.22</v>
      </c>
      <c r="J57" s="13">
        <v>8836408.6199999992</v>
      </c>
      <c r="K57" s="13">
        <f t="shared" si="1"/>
        <v>17974967.59</v>
      </c>
      <c r="L57" s="13">
        <v>0</v>
      </c>
      <c r="M57" s="13">
        <v>0</v>
      </c>
      <c r="N57" s="13">
        <v>77944991.260000005</v>
      </c>
      <c r="O57" s="13">
        <v>4286150.1100000003</v>
      </c>
      <c r="P57" s="13">
        <v>145789.32999999999</v>
      </c>
      <c r="Q57" s="13">
        <v>1407545.84</v>
      </c>
      <c r="R57" s="13">
        <v>518438.2</v>
      </c>
      <c r="S57" s="13">
        <v>292786.17</v>
      </c>
      <c r="T57" s="13">
        <v>-337585.51</v>
      </c>
      <c r="U57" s="13">
        <v>-439723.05</v>
      </c>
      <c r="V57" s="13">
        <v>0</v>
      </c>
      <c r="W57" s="13">
        <f t="shared" si="8"/>
        <v>83818392.350000009</v>
      </c>
      <c r="X57" s="13">
        <v>0</v>
      </c>
      <c r="Y57" s="13">
        <v>0</v>
      </c>
      <c r="Z57" s="13">
        <v>328286.73</v>
      </c>
      <c r="AA57" s="13">
        <v>0</v>
      </c>
      <c r="AB57" s="13">
        <f t="shared" si="2"/>
        <v>328286.73</v>
      </c>
      <c r="AC57" s="13">
        <v>6535823.8899999997</v>
      </c>
      <c r="AD57" s="13">
        <v>20841016.059999999</v>
      </c>
      <c r="AE57" s="13">
        <f>40596666.19</f>
        <v>40596666.189999998</v>
      </c>
      <c r="AF57" s="13">
        <f t="shared" si="3"/>
        <v>67973506.140000001</v>
      </c>
      <c r="AG57" s="13">
        <v>0</v>
      </c>
      <c r="AH57" s="13">
        <v>2321000</v>
      </c>
      <c r="AI57" s="14"/>
      <c r="AJ57" s="13">
        <f t="shared" si="7"/>
        <v>17974967.59</v>
      </c>
      <c r="AK57" s="15">
        <f t="shared" si="4"/>
        <v>84146679.080000013</v>
      </c>
      <c r="AL57" s="19">
        <v>0</v>
      </c>
      <c r="AM57" s="8"/>
      <c r="AN57" s="13">
        <f t="shared" si="5"/>
        <v>172416152.81</v>
      </c>
    </row>
    <row r="58" spans="2:40" s="17" customFormat="1" x14ac:dyDescent="0.3">
      <c r="B58" s="24">
        <v>41091</v>
      </c>
      <c r="C58" s="13">
        <v>2302661.54</v>
      </c>
      <c r="D58" s="13">
        <v>0</v>
      </c>
      <c r="E58" s="13">
        <v>2966124.74</v>
      </c>
      <c r="F58" s="13">
        <v>397128.65</v>
      </c>
      <c r="G58" s="13">
        <f t="shared" si="6"/>
        <v>5665914.9300000006</v>
      </c>
      <c r="H58" s="13">
        <v>8492302.0399999991</v>
      </c>
      <c r="I58" s="13">
        <v>1124970.77</v>
      </c>
      <c r="J58" s="13">
        <v>6028186.4000000004</v>
      </c>
      <c r="K58" s="13">
        <f t="shared" si="1"/>
        <v>21311374.140000001</v>
      </c>
      <c r="L58" s="13">
        <v>0</v>
      </c>
      <c r="M58" s="13">
        <v>0</v>
      </c>
      <c r="N58" s="13">
        <v>72627682.730000004</v>
      </c>
      <c r="O58" s="13">
        <v>4567254.21</v>
      </c>
      <c r="P58" s="13">
        <v>173808.84</v>
      </c>
      <c r="Q58" s="13">
        <v>656212.12</v>
      </c>
      <c r="R58" s="13">
        <v>468293.12</v>
      </c>
      <c r="S58" s="13">
        <v>147691.98000000001</v>
      </c>
      <c r="T58" s="13">
        <v>0</v>
      </c>
      <c r="U58" s="13">
        <v>92199.83</v>
      </c>
      <c r="V58" s="13">
        <v>0</v>
      </c>
      <c r="W58" s="13">
        <f t="shared" si="8"/>
        <v>78733142.830000013</v>
      </c>
      <c r="X58" s="13">
        <v>0</v>
      </c>
      <c r="Y58" s="13">
        <v>0</v>
      </c>
      <c r="Z58" s="13">
        <v>307719.38</v>
      </c>
      <c r="AA58" s="13">
        <v>0</v>
      </c>
      <c r="AB58" s="13">
        <f t="shared" si="2"/>
        <v>307719.38</v>
      </c>
      <c r="AC58" s="13">
        <v>9326005.4199999999</v>
      </c>
      <c r="AD58" s="13">
        <v>20841016.059999999</v>
      </c>
      <c r="AE58" s="13">
        <v>15000000</v>
      </c>
      <c r="AF58" s="13">
        <f t="shared" si="3"/>
        <v>45167021.479999997</v>
      </c>
      <c r="AG58" s="13">
        <v>0</v>
      </c>
      <c r="AH58" s="13">
        <v>2142000</v>
      </c>
      <c r="AI58" s="14"/>
      <c r="AJ58" s="13">
        <f t="shared" si="7"/>
        <v>21311374.140000001</v>
      </c>
      <c r="AK58" s="15">
        <f t="shared" si="4"/>
        <v>79040862.210000008</v>
      </c>
      <c r="AL58" s="19">
        <v>0</v>
      </c>
      <c r="AM58" s="8"/>
      <c r="AN58" s="13">
        <f t="shared" si="5"/>
        <v>147661257.83000001</v>
      </c>
    </row>
    <row r="59" spans="2:40" s="17" customFormat="1" x14ac:dyDescent="0.3">
      <c r="B59" s="25">
        <v>41122</v>
      </c>
      <c r="C59" s="13">
        <v>1770806.93</v>
      </c>
      <c r="D59" s="13">
        <v>0</v>
      </c>
      <c r="E59" s="13">
        <v>2473226.4</v>
      </c>
      <c r="F59" s="13">
        <v>351160.13</v>
      </c>
      <c r="G59" s="13">
        <f t="shared" si="6"/>
        <v>4595193.46</v>
      </c>
      <c r="H59" s="13">
        <v>3116142.07</v>
      </c>
      <c r="I59" s="13">
        <v>976900.74</v>
      </c>
      <c r="J59" s="13">
        <v>4894830.3600000003</v>
      </c>
      <c r="K59" s="13">
        <f t="shared" si="1"/>
        <v>13583066.629999999</v>
      </c>
      <c r="L59" s="13">
        <v>0</v>
      </c>
      <c r="M59" s="13">
        <v>0</v>
      </c>
      <c r="N59" s="13">
        <v>48641324.289999999</v>
      </c>
      <c r="O59" s="13">
        <v>4871318.8099999996</v>
      </c>
      <c r="P59" s="13">
        <v>436079.01</v>
      </c>
      <c r="Q59" s="13">
        <v>685118.21</v>
      </c>
      <c r="R59" s="13">
        <v>500448.95</v>
      </c>
      <c r="S59" s="13">
        <v>319920.07</v>
      </c>
      <c r="T59" s="13">
        <v>0</v>
      </c>
      <c r="U59" s="13">
        <v>57122.03</v>
      </c>
      <c r="V59" s="13">
        <v>0</v>
      </c>
      <c r="W59" s="13">
        <f t="shared" si="8"/>
        <v>55511331.370000005</v>
      </c>
      <c r="X59" s="13">
        <v>80358.490000000005</v>
      </c>
      <c r="Y59" s="13">
        <v>0</v>
      </c>
      <c r="Z59" s="13">
        <v>425679.95</v>
      </c>
      <c r="AA59" s="13">
        <v>0</v>
      </c>
      <c r="AB59" s="13">
        <f t="shared" si="2"/>
        <v>506038.44</v>
      </c>
      <c r="AC59" s="13">
        <v>6535823.8899999997</v>
      </c>
      <c r="AD59" s="13">
        <v>20841016.059999999</v>
      </c>
      <c r="AE59" s="13">
        <v>880000</v>
      </c>
      <c r="AF59" s="13">
        <f t="shared" si="3"/>
        <v>28256839.949999999</v>
      </c>
      <c r="AG59" s="13">
        <v>0</v>
      </c>
      <c r="AH59" s="13">
        <v>0</v>
      </c>
      <c r="AI59" s="14"/>
      <c r="AJ59" s="13">
        <f t="shared" si="7"/>
        <v>13583066.629999999</v>
      </c>
      <c r="AK59" s="15">
        <f t="shared" si="4"/>
        <v>56017369.810000002</v>
      </c>
      <c r="AL59" s="19">
        <v>-10169985.15</v>
      </c>
      <c r="AM59" s="8"/>
      <c r="AN59" s="13">
        <f t="shared" si="5"/>
        <v>87687291.239999995</v>
      </c>
    </row>
    <row r="60" spans="2:40" s="17" customFormat="1" x14ac:dyDescent="0.3">
      <c r="B60" s="26">
        <v>41153</v>
      </c>
      <c r="C60" s="13">
        <v>2507128.4</v>
      </c>
      <c r="D60" s="13">
        <v>0</v>
      </c>
      <c r="E60" s="13">
        <v>2328398.11</v>
      </c>
      <c r="F60" s="13">
        <v>227353.11</v>
      </c>
      <c r="G60" s="13">
        <f t="shared" si="6"/>
        <v>5062879.62</v>
      </c>
      <c r="H60" s="13">
        <v>3579558.39</v>
      </c>
      <c r="I60" s="13">
        <v>3037460.03</v>
      </c>
      <c r="J60" s="13">
        <v>4979892.9000000004</v>
      </c>
      <c r="K60" s="13">
        <f t="shared" si="1"/>
        <v>16659790.939999999</v>
      </c>
      <c r="L60" s="13">
        <v>0</v>
      </c>
      <c r="M60" s="13">
        <v>0</v>
      </c>
      <c r="N60" s="13">
        <v>56591542.770000003</v>
      </c>
      <c r="O60" s="13">
        <v>5383804.8300000001</v>
      </c>
      <c r="P60" s="13">
        <v>162555.37</v>
      </c>
      <c r="Q60" s="13">
        <v>688316.65</v>
      </c>
      <c r="R60" s="13">
        <v>558711.68000000005</v>
      </c>
      <c r="S60" s="13">
        <v>144271.63</v>
      </c>
      <c r="T60" s="13">
        <v>0</v>
      </c>
      <c r="U60" s="13">
        <v>80020.83</v>
      </c>
      <c r="V60" s="13">
        <v>0</v>
      </c>
      <c r="W60" s="13">
        <f t="shared" si="8"/>
        <v>63609223.759999998</v>
      </c>
      <c r="X60" s="13">
        <v>0</v>
      </c>
      <c r="Y60" s="13">
        <v>0</v>
      </c>
      <c r="Z60" s="13">
        <v>382077.76</v>
      </c>
      <c r="AA60" s="13">
        <v>0</v>
      </c>
      <c r="AB60" s="13">
        <f t="shared" si="2"/>
        <v>382077.76</v>
      </c>
      <c r="AC60" s="13">
        <v>13071647.779999999</v>
      </c>
      <c r="AD60" s="13">
        <v>41682032.119999997</v>
      </c>
      <c r="AE60" s="13">
        <v>7875688.4800000004</v>
      </c>
      <c r="AF60" s="13">
        <f t="shared" si="3"/>
        <v>62629368.379999995</v>
      </c>
      <c r="AG60" s="13">
        <v>0</v>
      </c>
      <c r="AH60" s="13">
        <v>21071000</v>
      </c>
      <c r="AI60" s="14"/>
      <c r="AJ60" s="13">
        <f t="shared" si="7"/>
        <v>16659790.939999999</v>
      </c>
      <c r="AK60" s="15">
        <f t="shared" si="4"/>
        <v>63991301.519999996</v>
      </c>
      <c r="AL60" s="19">
        <v>-56246.61</v>
      </c>
      <c r="AM60" s="8"/>
      <c r="AN60" s="13">
        <f t="shared" si="5"/>
        <v>164295214.22999996</v>
      </c>
    </row>
    <row r="61" spans="2:40" s="17" customFormat="1" x14ac:dyDescent="0.3">
      <c r="B61" s="27">
        <v>41183</v>
      </c>
      <c r="C61" s="13">
        <v>1343089.58</v>
      </c>
      <c r="D61" s="13">
        <v>0</v>
      </c>
      <c r="E61" s="13">
        <v>3108742.07</v>
      </c>
      <c r="F61" s="13">
        <v>545267.29</v>
      </c>
      <c r="G61" s="13">
        <f t="shared" si="6"/>
        <v>4997098.9400000004</v>
      </c>
      <c r="H61" s="13">
        <v>3076486.15</v>
      </c>
      <c r="I61" s="13">
        <v>721602.16</v>
      </c>
      <c r="J61" s="13">
        <v>4977790.05</v>
      </c>
      <c r="K61" s="13">
        <f t="shared" si="1"/>
        <v>13772977.300000001</v>
      </c>
      <c r="L61" s="13">
        <v>0</v>
      </c>
      <c r="M61" s="13">
        <v>0</v>
      </c>
      <c r="N61" s="13">
        <v>53110097.460000001</v>
      </c>
      <c r="O61" s="13">
        <v>5722736.7800000003</v>
      </c>
      <c r="P61" s="13">
        <v>173808.84</v>
      </c>
      <c r="Q61" s="13">
        <v>732519.4</v>
      </c>
      <c r="R61" s="13">
        <v>861902.09</v>
      </c>
      <c r="S61" s="13">
        <v>146620.01</v>
      </c>
      <c r="T61" s="13">
        <v>0</v>
      </c>
      <c r="U61" s="13">
        <v>90227.18</v>
      </c>
      <c r="V61" s="13">
        <v>0</v>
      </c>
      <c r="W61" s="13">
        <f t="shared" si="8"/>
        <v>60837911.760000005</v>
      </c>
      <c r="X61" s="13">
        <v>0</v>
      </c>
      <c r="Y61" s="13">
        <v>0</v>
      </c>
      <c r="Z61" s="13">
        <v>471592.29</v>
      </c>
      <c r="AA61" s="13">
        <v>0</v>
      </c>
      <c r="AB61" s="13">
        <f t="shared" si="2"/>
        <v>471592.29</v>
      </c>
      <c r="AC61" s="13">
        <v>0</v>
      </c>
      <c r="AD61" s="13">
        <v>0</v>
      </c>
      <c r="AE61" s="13">
        <v>1071000</v>
      </c>
      <c r="AF61" s="13">
        <f t="shared" si="3"/>
        <v>1071000</v>
      </c>
      <c r="AG61" s="13">
        <v>0</v>
      </c>
      <c r="AH61" s="13">
        <v>0</v>
      </c>
      <c r="AI61" s="14"/>
      <c r="AJ61" s="13">
        <f t="shared" si="7"/>
        <v>13772977.300000001</v>
      </c>
      <c r="AK61" s="15">
        <f t="shared" si="4"/>
        <v>61309504.050000004</v>
      </c>
      <c r="AL61" s="19">
        <v>-251711.76</v>
      </c>
      <c r="AM61" s="8"/>
      <c r="AN61" s="13">
        <f t="shared" si="5"/>
        <v>75901769.590000004</v>
      </c>
    </row>
    <row r="62" spans="2:40" s="17" customFormat="1" x14ac:dyDescent="0.3">
      <c r="B62" s="28">
        <v>41214</v>
      </c>
      <c r="C62" s="13">
        <v>2293945.16</v>
      </c>
      <c r="D62" s="13">
        <v>0</v>
      </c>
      <c r="E62" s="13">
        <v>2522721.27</v>
      </c>
      <c r="F62" s="13">
        <v>445336.56</v>
      </c>
      <c r="G62" s="13">
        <f t="shared" si="6"/>
        <v>5262002.9899999993</v>
      </c>
      <c r="H62" s="13">
        <v>3362260.19</v>
      </c>
      <c r="I62" s="13">
        <v>2003814.01</v>
      </c>
      <c r="J62" s="13">
        <v>2222750.5299999998</v>
      </c>
      <c r="K62" s="13">
        <f t="shared" si="1"/>
        <v>12850827.719999999</v>
      </c>
      <c r="L62" s="13">
        <v>0</v>
      </c>
      <c r="M62" s="13">
        <v>0</v>
      </c>
      <c r="N62" s="13">
        <v>62310151.350000001</v>
      </c>
      <c r="O62" s="13">
        <v>4570529.16</v>
      </c>
      <c r="P62" s="13">
        <v>372875.5</v>
      </c>
      <c r="Q62" s="13">
        <v>675572.68</v>
      </c>
      <c r="R62" s="13">
        <v>492538.51</v>
      </c>
      <c r="S62" s="13">
        <v>138133.13</v>
      </c>
      <c r="T62" s="13">
        <v>0</v>
      </c>
      <c r="U62" s="13">
        <v>68804.39</v>
      </c>
      <c r="V62" s="13">
        <v>0</v>
      </c>
      <c r="W62" s="13">
        <f t="shared" si="8"/>
        <v>68628604.720000014</v>
      </c>
      <c r="X62" s="13">
        <v>0</v>
      </c>
      <c r="Y62" s="13">
        <v>0</v>
      </c>
      <c r="Z62" s="13">
        <v>483738.73</v>
      </c>
      <c r="AA62" s="13">
        <v>0</v>
      </c>
      <c r="AB62" s="13">
        <f t="shared" si="2"/>
        <v>483738.73</v>
      </c>
      <c r="AC62" s="13">
        <v>6535823.8600000003</v>
      </c>
      <c r="AD62" s="13">
        <v>20841016.059999999</v>
      </c>
      <c r="AE62" s="13">
        <f>9629427</f>
        <v>9629427</v>
      </c>
      <c r="AF62" s="13">
        <f t="shared" si="3"/>
        <v>37006266.920000002</v>
      </c>
      <c r="AG62" s="13">
        <v>0</v>
      </c>
      <c r="AH62" s="13">
        <v>3392000</v>
      </c>
      <c r="AI62" s="14"/>
      <c r="AJ62" s="13">
        <f t="shared" si="7"/>
        <v>12850827.719999999</v>
      </c>
      <c r="AK62" s="15">
        <f t="shared" si="4"/>
        <v>69112343.450000018</v>
      </c>
      <c r="AL62" s="19">
        <v>-2600.4899999999998</v>
      </c>
      <c r="AM62" s="8"/>
      <c r="AN62" s="13">
        <f t="shared" si="5"/>
        <v>122358837.60000002</v>
      </c>
    </row>
    <row r="63" spans="2:40" s="17" customFormat="1" x14ac:dyDescent="0.3">
      <c r="B63" s="29">
        <v>41244</v>
      </c>
      <c r="C63" s="13">
        <v>4635652.12</v>
      </c>
      <c r="D63" s="13">
        <v>0</v>
      </c>
      <c r="E63" s="13">
        <v>3909432.87</v>
      </c>
      <c r="F63" s="13">
        <v>462614.33</v>
      </c>
      <c r="G63" s="13">
        <f t="shared" si="6"/>
        <v>9007699.3200000003</v>
      </c>
      <c r="H63" s="13">
        <v>2517922.13</v>
      </c>
      <c r="I63" s="13">
        <v>863223.09</v>
      </c>
      <c r="J63" s="13">
        <v>4495418.91</v>
      </c>
      <c r="K63" s="13">
        <f t="shared" si="1"/>
        <v>16884263.449999999</v>
      </c>
      <c r="L63" s="13">
        <v>0</v>
      </c>
      <c r="M63" s="13">
        <v>0</v>
      </c>
      <c r="N63" s="13">
        <v>105927846.12</v>
      </c>
      <c r="O63" s="13">
        <v>281080.58</v>
      </c>
      <c r="P63" s="13">
        <v>183772.26</v>
      </c>
      <c r="Q63" s="13">
        <v>707204.07</v>
      </c>
      <c r="R63" s="13">
        <v>0</v>
      </c>
      <c r="S63" s="13">
        <v>0</v>
      </c>
      <c r="T63" s="13">
        <v>0</v>
      </c>
      <c r="U63" s="13">
        <v>81878.36</v>
      </c>
      <c r="V63" s="13">
        <v>0</v>
      </c>
      <c r="W63" s="13">
        <f t="shared" si="8"/>
        <v>107181781.39</v>
      </c>
      <c r="X63" s="13">
        <v>0</v>
      </c>
      <c r="Y63" s="13">
        <v>0</v>
      </c>
      <c r="Z63" s="13">
        <v>0</v>
      </c>
      <c r="AA63" s="13">
        <v>0</v>
      </c>
      <c r="AB63" s="13">
        <f t="shared" si="2"/>
        <v>0</v>
      </c>
      <c r="AC63" s="13">
        <v>0</v>
      </c>
      <c r="AD63" s="13">
        <v>41682032.119999997</v>
      </c>
      <c r="AE63" s="13">
        <v>6820140.9800000004</v>
      </c>
      <c r="AF63" s="13">
        <f t="shared" si="3"/>
        <v>48502173.099999994</v>
      </c>
      <c r="AG63" s="13">
        <v>0</v>
      </c>
      <c r="AH63" s="13">
        <v>82438489</v>
      </c>
      <c r="AI63" s="14"/>
      <c r="AJ63" s="13">
        <f t="shared" si="7"/>
        <v>16884263.449999999</v>
      </c>
      <c r="AK63" s="15">
        <f t="shared" si="4"/>
        <v>107181781.39</v>
      </c>
      <c r="AL63" s="19">
        <v>-14647222.59</v>
      </c>
      <c r="AM63" s="8"/>
      <c r="AN63" s="13">
        <f t="shared" si="5"/>
        <v>240359484.34999999</v>
      </c>
    </row>
    <row r="64" spans="2:40" s="17" customFormat="1" x14ac:dyDescent="0.3">
      <c r="B64" s="12">
        <v>41275</v>
      </c>
      <c r="C64" s="13">
        <v>65909058.469999999</v>
      </c>
      <c r="D64" s="13">
        <v>0</v>
      </c>
      <c r="E64" s="13">
        <v>3435683.23</v>
      </c>
      <c r="F64" s="13">
        <v>679476.05</v>
      </c>
      <c r="G64" s="13">
        <f t="shared" si="6"/>
        <v>70024217.75</v>
      </c>
      <c r="H64" s="13">
        <v>5829763</v>
      </c>
      <c r="I64" s="13">
        <v>962078.27</v>
      </c>
      <c r="J64" s="13">
        <v>1737288.88</v>
      </c>
      <c r="K64" s="13">
        <f t="shared" si="1"/>
        <v>78553347.899999991</v>
      </c>
      <c r="L64" s="13">
        <v>0</v>
      </c>
      <c r="M64" s="13">
        <v>0</v>
      </c>
      <c r="N64" s="13">
        <v>27454404.390000001</v>
      </c>
      <c r="O64" s="13">
        <v>8256305.6299999999</v>
      </c>
      <c r="P64" s="13">
        <v>32550.65</v>
      </c>
      <c r="Q64" s="13">
        <v>0</v>
      </c>
      <c r="R64" s="13">
        <v>685136.18</v>
      </c>
      <c r="S64" s="13">
        <v>133880.51</v>
      </c>
      <c r="T64" s="13">
        <v>0</v>
      </c>
      <c r="U64" s="13">
        <v>0</v>
      </c>
      <c r="V64" s="13">
        <v>0</v>
      </c>
      <c r="W64" s="13">
        <f t="shared" si="8"/>
        <v>36562277.359999999</v>
      </c>
      <c r="X64" s="13">
        <v>0</v>
      </c>
      <c r="Y64" s="13">
        <v>0</v>
      </c>
      <c r="Z64" s="13">
        <v>1069840.3700000001</v>
      </c>
      <c r="AA64" s="13">
        <v>0</v>
      </c>
      <c r="AB64" s="13">
        <f t="shared" si="2"/>
        <v>1069840.3700000001</v>
      </c>
      <c r="AC64" s="13">
        <v>0</v>
      </c>
      <c r="AD64" s="13">
        <v>0</v>
      </c>
      <c r="AE64" s="13">
        <v>0</v>
      </c>
      <c r="AF64" s="13">
        <f t="shared" si="3"/>
        <v>0</v>
      </c>
      <c r="AG64" s="13">
        <v>0</v>
      </c>
      <c r="AH64" s="13">
        <v>0</v>
      </c>
      <c r="AI64" s="14"/>
      <c r="AJ64" s="13">
        <f t="shared" si="7"/>
        <v>78553347.899999991</v>
      </c>
      <c r="AK64" s="15">
        <f t="shared" si="4"/>
        <v>37632117.729999997</v>
      </c>
      <c r="AL64" s="19">
        <v>-513.67999999999995</v>
      </c>
      <c r="AM64" s="8"/>
      <c r="AN64" s="13">
        <f t="shared" si="5"/>
        <v>116184951.94999999</v>
      </c>
    </row>
    <row r="65" spans="2:40" s="17" customFormat="1" x14ac:dyDescent="0.3">
      <c r="B65" s="18">
        <v>41306</v>
      </c>
      <c r="C65" s="13">
        <v>8784004.9100000001</v>
      </c>
      <c r="D65" s="13">
        <v>0</v>
      </c>
      <c r="E65" s="13">
        <v>3579764.11</v>
      </c>
      <c r="F65" s="13">
        <v>486117.58</v>
      </c>
      <c r="G65" s="13">
        <f t="shared" si="6"/>
        <v>12849886.6</v>
      </c>
      <c r="H65" s="13">
        <v>3991191.87</v>
      </c>
      <c r="I65" s="13">
        <v>888765.63</v>
      </c>
      <c r="J65" s="13">
        <v>1279094.71</v>
      </c>
      <c r="K65" s="13">
        <f t="shared" si="1"/>
        <v>19008938.809999999</v>
      </c>
      <c r="L65" s="13">
        <v>0</v>
      </c>
      <c r="M65" s="13">
        <v>0</v>
      </c>
      <c r="N65" s="13">
        <v>58270383.969999999</v>
      </c>
      <c r="O65" s="13">
        <v>5431459.4100000001</v>
      </c>
      <c r="P65" s="13">
        <v>378010.63</v>
      </c>
      <c r="Q65" s="13">
        <v>668186.54</v>
      </c>
      <c r="R65" s="13">
        <v>494383.38</v>
      </c>
      <c r="S65" s="13">
        <v>0</v>
      </c>
      <c r="T65" s="13">
        <v>120850.52</v>
      </c>
      <c r="U65" s="13">
        <v>89125.98</v>
      </c>
      <c r="V65" s="13">
        <v>0</v>
      </c>
      <c r="W65" s="13">
        <f t="shared" si="8"/>
        <v>65452400.43</v>
      </c>
      <c r="X65" s="13">
        <v>0</v>
      </c>
      <c r="Y65" s="13">
        <v>0</v>
      </c>
      <c r="Z65" s="13">
        <v>538042.67000000004</v>
      </c>
      <c r="AA65" s="13">
        <v>0</v>
      </c>
      <c r="AB65" s="13">
        <f t="shared" si="2"/>
        <v>538042.67000000004</v>
      </c>
      <c r="AC65" s="13">
        <v>7310316.3899999997</v>
      </c>
      <c r="AD65" s="13">
        <v>22456532.620000001</v>
      </c>
      <c r="AE65" s="13">
        <v>0</v>
      </c>
      <c r="AF65" s="13">
        <f t="shared" si="3"/>
        <v>29766849.010000002</v>
      </c>
      <c r="AG65" s="13">
        <v>0</v>
      </c>
      <c r="AH65" s="13">
        <v>0</v>
      </c>
      <c r="AI65" s="14"/>
      <c r="AJ65" s="13">
        <f t="shared" si="7"/>
        <v>19008938.809999999</v>
      </c>
      <c r="AK65" s="15">
        <f t="shared" si="4"/>
        <v>65990443.100000001</v>
      </c>
      <c r="AL65" s="19">
        <v>-20346387.809999999</v>
      </c>
      <c r="AM65" s="8"/>
      <c r="AN65" s="13">
        <f t="shared" si="5"/>
        <v>94419843.109999999</v>
      </c>
    </row>
    <row r="66" spans="2:40" s="17" customFormat="1" x14ac:dyDescent="0.3">
      <c r="B66" s="20">
        <v>41334</v>
      </c>
      <c r="C66" s="13">
        <v>7581278.7199999997</v>
      </c>
      <c r="D66" s="13">
        <v>0</v>
      </c>
      <c r="E66" s="13">
        <v>4890837.8499999996</v>
      </c>
      <c r="F66" s="13">
        <v>219825.82</v>
      </c>
      <c r="G66" s="13">
        <f t="shared" si="6"/>
        <v>12691942.390000001</v>
      </c>
      <c r="H66" s="13">
        <v>3702561.49</v>
      </c>
      <c r="I66" s="13">
        <v>901829.96</v>
      </c>
      <c r="J66" s="13">
        <v>1079087.1599999999</v>
      </c>
      <c r="K66" s="13">
        <f t="shared" si="1"/>
        <v>18375421</v>
      </c>
      <c r="L66" s="13">
        <v>0</v>
      </c>
      <c r="M66" s="13">
        <v>0</v>
      </c>
      <c r="N66" s="13">
        <v>100415357.48</v>
      </c>
      <c r="O66" s="13">
        <v>8506531.6600000001</v>
      </c>
      <c r="P66" s="13">
        <v>173808.84</v>
      </c>
      <c r="Q66" s="13">
        <v>688850.46</v>
      </c>
      <c r="R66" s="13">
        <v>611715.04</v>
      </c>
      <c r="S66" s="13">
        <v>0</v>
      </c>
      <c r="T66" s="13">
        <v>135180.38</v>
      </c>
      <c r="U66" s="13">
        <v>51076.19</v>
      </c>
      <c r="V66" s="13">
        <v>0</v>
      </c>
      <c r="W66" s="13">
        <f t="shared" si="8"/>
        <v>110582520.05</v>
      </c>
      <c r="X66" s="13">
        <v>0</v>
      </c>
      <c r="Y66" s="13">
        <v>0</v>
      </c>
      <c r="Z66" s="13">
        <v>437240.47</v>
      </c>
      <c r="AA66" s="13">
        <v>0</v>
      </c>
      <c r="AB66" s="13">
        <f t="shared" si="2"/>
        <v>437240.47</v>
      </c>
      <c r="AC66" s="13">
        <v>7310316.3899999997</v>
      </c>
      <c r="AD66" s="13">
        <v>22456532.620000001</v>
      </c>
      <c r="AE66" s="13">
        <v>750000</v>
      </c>
      <c r="AF66" s="13">
        <f t="shared" si="3"/>
        <v>30516849.010000002</v>
      </c>
      <c r="AG66" s="13">
        <v>0</v>
      </c>
      <c r="AH66" s="13">
        <v>0</v>
      </c>
      <c r="AI66" s="14"/>
      <c r="AJ66" s="13">
        <f t="shared" si="7"/>
        <v>18375421</v>
      </c>
      <c r="AK66" s="15">
        <f t="shared" si="4"/>
        <v>111019760.52</v>
      </c>
      <c r="AL66" s="19">
        <v>-910518.33</v>
      </c>
      <c r="AM66" s="8"/>
      <c r="AN66" s="13">
        <f t="shared" si="5"/>
        <v>159001512.19999999</v>
      </c>
    </row>
    <row r="67" spans="2:40" s="17" customFormat="1" x14ac:dyDescent="0.3">
      <c r="B67" s="21">
        <v>41365</v>
      </c>
      <c r="C67" s="13">
        <v>3413056.47</v>
      </c>
      <c r="D67" s="13">
        <v>9177067.9199999999</v>
      </c>
      <c r="E67" s="13">
        <v>4762213.22</v>
      </c>
      <c r="F67" s="13">
        <v>642897.59000000008</v>
      </c>
      <c r="G67" s="13">
        <f>SUM(C67:F67)</f>
        <v>17995235.199999999</v>
      </c>
      <c r="H67" s="13">
        <v>3887484.66</v>
      </c>
      <c r="I67" s="13">
        <v>1950728.49</v>
      </c>
      <c r="J67" s="13">
        <v>1615301.08</v>
      </c>
      <c r="K67" s="13">
        <f t="shared" si="1"/>
        <v>25448749.43</v>
      </c>
      <c r="L67" s="13">
        <v>0</v>
      </c>
      <c r="M67" s="13">
        <v>0</v>
      </c>
      <c r="N67" s="13">
        <v>64186923.890000001</v>
      </c>
      <c r="O67" s="13">
        <v>0</v>
      </c>
      <c r="P67" s="13">
        <v>173808.84</v>
      </c>
      <c r="Q67" s="13">
        <v>1350265.52</v>
      </c>
      <c r="R67" s="13">
        <v>920429.08</v>
      </c>
      <c r="S67" s="13">
        <v>133679.23000000001</v>
      </c>
      <c r="T67" s="13">
        <v>0</v>
      </c>
      <c r="U67" s="13">
        <v>177328.67</v>
      </c>
      <c r="V67" s="13">
        <v>0</v>
      </c>
      <c r="W67" s="13">
        <f t="shared" si="8"/>
        <v>66942435.230000004</v>
      </c>
      <c r="X67" s="13">
        <v>0</v>
      </c>
      <c r="Y67" s="13">
        <v>0</v>
      </c>
      <c r="Z67" s="13">
        <v>358033.07</v>
      </c>
      <c r="AA67" s="13">
        <v>0</v>
      </c>
      <c r="AB67" s="13">
        <f t="shared" si="2"/>
        <v>358033.07</v>
      </c>
      <c r="AC67" s="13">
        <v>7310316.3899999997</v>
      </c>
      <c r="AD67" s="13">
        <v>22456532.620000001</v>
      </c>
      <c r="AE67" s="13">
        <v>0</v>
      </c>
      <c r="AF67" s="13">
        <f t="shared" si="3"/>
        <v>29766849.010000002</v>
      </c>
      <c r="AG67" s="13">
        <v>0</v>
      </c>
      <c r="AH67" s="13">
        <v>0</v>
      </c>
      <c r="AI67" s="14"/>
      <c r="AJ67" s="13">
        <f t="shared" si="7"/>
        <v>25448749.43</v>
      </c>
      <c r="AK67" s="15">
        <f t="shared" si="4"/>
        <v>67300468.299999997</v>
      </c>
      <c r="AL67" s="19">
        <v>-88472.63</v>
      </c>
      <c r="AM67" s="8"/>
      <c r="AN67" s="13">
        <f t="shared" si="5"/>
        <v>122427594.11</v>
      </c>
    </row>
    <row r="68" spans="2:40" s="17" customFormat="1" x14ac:dyDescent="0.3">
      <c r="B68" s="22">
        <v>41395</v>
      </c>
      <c r="C68" s="13">
        <v>2117243.2000000002</v>
      </c>
      <c r="D68" s="13">
        <v>0</v>
      </c>
      <c r="E68" s="13">
        <v>4723093.9400000004</v>
      </c>
      <c r="F68" s="13">
        <v>524665.30000000005</v>
      </c>
      <c r="G68" s="13">
        <f t="shared" ref="G68:G131" si="9">SUM(C68:F68)</f>
        <v>7365002.4400000004</v>
      </c>
      <c r="H68" s="13">
        <v>3350676.39</v>
      </c>
      <c r="I68" s="13">
        <v>739174.6</v>
      </c>
      <c r="J68" s="13">
        <v>1585673.11</v>
      </c>
      <c r="K68" s="13">
        <f t="shared" si="1"/>
        <v>13040526.539999999</v>
      </c>
      <c r="L68" s="13">
        <v>0</v>
      </c>
      <c r="M68" s="13">
        <v>0</v>
      </c>
      <c r="N68" s="13">
        <v>48913486.609999999</v>
      </c>
      <c r="O68" s="13">
        <v>5898269.1900000004</v>
      </c>
      <c r="P68" s="13">
        <v>507995.24</v>
      </c>
      <c r="Q68" s="13">
        <v>571314.97</v>
      </c>
      <c r="R68" s="13">
        <v>401040.96</v>
      </c>
      <c r="S68" s="13">
        <v>147810.82</v>
      </c>
      <c r="T68" s="13">
        <v>0</v>
      </c>
      <c r="U68" s="13">
        <v>72076.81</v>
      </c>
      <c r="V68" s="13">
        <v>0</v>
      </c>
      <c r="W68" s="13">
        <f t="shared" si="8"/>
        <v>56511994.600000001</v>
      </c>
      <c r="X68" s="13">
        <v>0</v>
      </c>
      <c r="Y68" s="13">
        <v>0</v>
      </c>
      <c r="Z68" s="13">
        <v>359778.76</v>
      </c>
      <c r="AA68" s="13">
        <v>0</v>
      </c>
      <c r="AB68" s="13">
        <f t="shared" si="2"/>
        <v>359778.76</v>
      </c>
      <c r="AC68" s="13">
        <v>7310316.3899999997</v>
      </c>
      <c r="AD68" s="13">
        <v>22456532.620000001</v>
      </c>
      <c r="AE68" s="13">
        <v>44713686.25</v>
      </c>
      <c r="AF68" s="13">
        <f t="shared" si="3"/>
        <v>74480535.260000005</v>
      </c>
      <c r="AG68" s="13">
        <v>0</v>
      </c>
      <c r="AH68" s="13">
        <v>0</v>
      </c>
      <c r="AI68" s="14"/>
      <c r="AJ68" s="13">
        <f t="shared" si="7"/>
        <v>13040526.539999999</v>
      </c>
      <c r="AK68" s="15">
        <f t="shared" si="4"/>
        <v>56871773.359999999</v>
      </c>
      <c r="AL68" s="19">
        <v>-281695</v>
      </c>
      <c r="AM68" s="8"/>
      <c r="AN68" s="13">
        <f t="shared" si="5"/>
        <v>144111140.16000003</v>
      </c>
    </row>
    <row r="69" spans="2:40" s="17" customFormat="1" x14ac:dyDescent="0.3">
      <c r="B69" s="23">
        <v>41426</v>
      </c>
      <c r="C69" s="13">
        <v>2114737.39</v>
      </c>
      <c r="D69" s="13">
        <v>5054488</v>
      </c>
      <c r="E69" s="13">
        <v>6413275.3799999999</v>
      </c>
      <c r="F69" s="13">
        <v>331956.07</v>
      </c>
      <c r="G69" s="13">
        <f t="shared" si="9"/>
        <v>13914456.84</v>
      </c>
      <c r="H69" s="13">
        <v>2666792.4500000002</v>
      </c>
      <c r="I69" s="13">
        <v>1231633.6399999999</v>
      </c>
      <c r="J69" s="13">
        <v>1613480.3899999997</v>
      </c>
      <c r="K69" s="13">
        <f t="shared" ref="K69:K132" si="10">SUM(G69:J69)</f>
        <v>19426363.32</v>
      </c>
      <c r="L69" s="13">
        <v>0</v>
      </c>
      <c r="M69" s="13">
        <v>0</v>
      </c>
      <c r="N69" s="13">
        <v>46873959.219999999</v>
      </c>
      <c r="O69" s="13">
        <v>12187525.67</v>
      </c>
      <c r="P69" s="13">
        <v>167543.88</v>
      </c>
      <c r="Q69" s="13">
        <v>670496.63</v>
      </c>
      <c r="R69" s="13">
        <v>392086.63</v>
      </c>
      <c r="S69" s="13">
        <v>436163.95</v>
      </c>
      <c r="T69" s="13">
        <v>-256050.9</v>
      </c>
      <c r="U69" s="13">
        <v>76268.539999999994</v>
      </c>
      <c r="V69" s="13">
        <v>0</v>
      </c>
      <c r="W69" s="13">
        <f t="shared" si="8"/>
        <v>60547993.620000012</v>
      </c>
      <c r="X69" s="13">
        <v>0</v>
      </c>
      <c r="Y69" s="13">
        <v>0</v>
      </c>
      <c r="Z69" s="13">
        <v>382272.45</v>
      </c>
      <c r="AA69" s="13">
        <v>0</v>
      </c>
      <c r="AB69" s="13">
        <f t="shared" ref="AB69:AB132" si="11">SUM(X69:AA69)</f>
        <v>382272.45</v>
      </c>
      <c r="AC69" s="13">
        <v>7310316.3899999997</v>
      </c>
      <c r="AD69" s="13">
        <v>22456532.620000001</v>
      </c>
      <c r="AE69" s="13">
        <v>0</v>
      </c>
      <c r="AF69" s="13">
        <f t="shared" ref="AF69:AF132" si="12">SUM(AC69:AE69)</f>
        <v>29766849.010000002</v>
      </c>
      <c r="AG69" s="13">
        <v>0</v>
      </c>
      <c r="AH69" s="13">
        <v>0</v>
      </c>
      <c r="AI69" s="14"/>
      <c r="AJ69" s="13">
        <f t="shared" si="7"/>
        <v>19426363.32</v>
      </c>
      <c r="AK69" s="15">
        <f t="shared" ref="AK69:AK132" si="13">W69+AB69</f>
        <v>60930266.070000015</v>
      </c>
      <c r="AL69" s="19">
        <v>-59940000</v>
      </c>
      <c r="AM69" s="8"/>
      <c r="AN69" s="13">
        <f t="shared" ref="AN69:AN132" si="14">AJ69+AK69+AF69+AG69+AH69+AL69</f>
        <v>50183478.400000021</v>
      </c>
    </row>
    <row r="70" spans="2:40" s="17" customFormat="1" x14ac:dyDescent="0.3">
      <c r="B70" s="24">
        <v>41456</v>
      </c>
      <c r="C70" s="13">
        <v>1836559.3600000001</v>
      </c>
      <c r="D70" s="13">
        <v>7318228.5</v>
      </c>
      <c r="E70" s="13">
        <v>6493173.3499999996</v>
      </c>
      <c r="F70" s="13">
        <v>25323.08</v>
      </c>
      <c r="G70" s="13">
        <f>SUM(C70:F70)</f>
        <v>15673284.289999999</v>
      </c>
      <c r="H70" s="13">
        <v>3416802.21</v>
      </c>
      <c r="I70" s="13">
        <v>3085647.31</v>
      </c>
      <c r="J70" s="13">
        <v>5804319.5500000007</v>
      </c>
      <c r="K70" s="13">
        <f t="shared" si="10"/>
        <v>27980053.359999999</v>
      </c>
      <c r="L70" s="13">
        <v>0</v>
      </c>
      <c r="M70" s="13">
        <v>0</v>
      </c>
      <c r="N70" s="13">
        <v>57153285.630000003</v>
      </c>
      <c r="O70" s="13">
        <v>4686165.5199999996</v>
      </c>
      <c r="P70" s="13">
        <v>173808.84</v>
      </c>
      <c r="Q70" s="13">
        <v>680962.63</v>
      </c>
      <c r="R70" s="13">
        <v>182705.37</v>
      </c>
      <c r="S70" s="13">
        <v>144700.19</v>
      </c>
      <c r="T70" s="13">
        <v>0</v>
      </c>
      <c r="U70" s="13">
        <v>85256.72</v>
      </c>
      <c r="V70" s="13">
        <v>0</v>
      </c>
      <c r="W70" s="13">
        <f t="shared" si="8"/>
        <v>63106884.900000006</v>
      </c>
      <c r="X70" s="13">
        <v>0</v>
      </c>
      <c r="Y70" s="13">
        <v>0</v>
      </c>
      <c r="Z70" s="13">
        <v>395871.98</v>
      </c>
      <c r="AA70" s="13">
        <v>0</v>
      </c>
      <c r="AB70" s="13">
        <f t="shared" si="11"/>
        <v>395871.98</v>
      </c>
      <c r="AC70" s="13">
        <v>7310345.5099999998</v>
      </c>
      <c r="AD70" s="13">
        <v>22456532.620000001</v>
      </c>
      <c r="AE70" s="13">
        <v>700000</v>
      </c>
      <c r="AF70" s="13">
        <f t="shared" si="12"/>
        <v>30466878.130000003</v>
      </c>
      <c r="AG70" s="13">
        <v>0</v>
      </c>
      <c r="AH70" s="13">
        <v>0</v>
      </c>
      <c r="AI70" s="14"/>
      <c r="AJ70" s="13">
        <f t="shared" ref="AJ70:AJ133" si="15">K70+L70</f>
        <v>27980053.359999999</v>
      </c>
      <c r="AK70" s="15">
        <f t="shared" si="13"/>
        <v>63502756.880000003</v>
      </c>
      <c r="AL70" s="19">
        <v>-6810608.1399999997</v>
      </c>
      <c r="AM70" s="8"/>
      <c r="AN70" s="13">
        <f t="shared" si="14"/>
        <v>115139080.23</v>
      </c>
    </row>
    <row r="71" spans="2:40" s="17" customFormat="1" x14ac:dyDescent="0.3">
      <c r="B71" s="25">
        <v>41487</v>
      </c>
      <c r="C71" s="13">
        <v>1596286.19</v>
      </c>
      <c r="D71" s="13">
        <v>0</v>
      </c>
      <c r="E71" s="13">
        <v>5068075.79</v>
      </c>
      <c r="F71" s="13">
        <v>6409.5599999999995</v>
      </c>
      <c r="G71" s="13">
        <f t="shared" si="9"/>
        <v>6670771.54</v>
      </c>
      <c r="H71" s="13">
        <v>3771710.85</v>
      </c>
      <c r="I71" s="13">
        <v>873001.3</v>
      </c>
      <c r="J71" s="13">
        <v>1833744.82</v>
      </c>
      <c r="K71" s="13">
        <f t="shared" si="10"/>
        <v>13149228.510000002</v>
      </c>
      <c r="L71" s="13">
        <v>0</v>
      </c>
      <c r="M71" s="13">
        <v>0</v>
      </c>
      <c r="N71" s="13">
        <v>59270887.170000002</v>
      </c>
      <c r="O71" s="13">
        <v>5548639.5899999999</v>
      </c>
      <c r="P71" s="13">
        <v>366991.97</v>
      </c>
      <c r="Q71" s="13">
        <v>724938.14</v>
      </c>
      <c r="R71" s="13">
        <v>529921.32999999996</v>
      </c>
      <c r="S71" s="13">
        <v>133456.37</v>
      </c>
      <c r="T71" s="13">
        <v>0</v>
      </c>
      <c r="U71" s="13">
        <v>68118.69</v>
      </c>
      <c r="V71" s="13">
        <v>0</v>
      </c>
      <c r="W71" s="13">
        <f t="shared" si="8"/>
        <v>66642953.259999998</v>
      </c>
      <c r="X71" s="13">
        <v>0</v>
      </c>
      <c r="Y71" s="13">
        <v>0</v>
      </c>
      <c r="Z71" s="13">
        <v>321531.65000000002</v>
      </c>
      <c r="AA71" s="13">
        <v>0</v>
      </c>
      <c r="AB71" s="13">
        <f t="shared" si="11"/>
        <v>321531.65000000002</v>
      </c>
      <c r="AC71" s="13">
        <v>7310316.3899999997</v>
      </c>
      <c r="AD71" s="13">
        <v>22456532.620000001</v>
      </c>
      <c r="AE71" s="13">
        <v>13535155.800000001</v>
      </c>
      <c r="AF71" s="13">
        <f t="shared" si="12"/>
        <v>43302004.810000002</v>
      </c>
      <c r="AG71" s="13">
        <v>0</v>
      </c>
      <c r="AH71" s="13">
        <v>0</v>
      </c>
      <c r="AI71" s="14"/>
      <c r="AJ71" s="13">
        <f t="shared" si="15"/>
        <v>13149228.510000002</v>
      </c>
      <c r="AK71" s="15">
        <f t="shared" si="13"/>
        <v>66964484.909999996</v>
      </c>
      <c r="AL71" s="19">
        <v>-98.6</v>
      </c>
      <c r="AM71" s="8"/>
      <c r="AN71" s="13">
        <f t="shared" si="14"/>
        <v>123415619.63000001</v>
      </c>
    </row>
    <row r="72" spans="2:40" s="17" customFormat="1" x14ac:dyDescent="0.3">
      <c r="B72" s="26">
        <v>41518</v>
      </c>
      <c r="C72" s="13">
        <v>1356969.32</v>
      </c>
      <c r="D72" s="13">
        <v>0</v>
      </c>
      <c r="E72" s="13">
        <v>5472146</v>
      </c>
      <c r="F72" s="13">
        <v>35047</v>
      </c>
      <c r="G72" s="13">
        <f t="shared" si="9"/>
        <v>6864162.3200000003</v>
      </c>
      <c r="H72" s="13">
        <v>3146763.25</v>
      </c>
      <c r="I72" s="13">
        <v>1117678.18</v>
      </c>
      <c r="J72" s="13">
        <v>1150856.26</v>
      </c>
      <c r="K72" s="13">
        <f t="shared" si="10"/>
        <v>12279460.01</v>
      </c>
      <c r="L72" s="13">
        <v>0</v>
      </c>
      <c r="M72" s="13">
        <v>0</v>
      </c>
      <c r="N72" s="13">
        <v>34474859.649999999</v>
      </c>
      <c r="O72" s="13">
        <v>7451537.7800000003</v>
      </c>
      <c r="P72" s="13">
        <v>197709.58</v>
      </c>
      <c r="Q72" s="13">
        <v>0</v>
      </c>
      <c r="R72" s="13">
        <v>497554.63</v>
      </c>
      <c r="S72" s="13">
        <v>137742.10999999999</v>
      </c>
      <c r="T72" s="13">
        <v>0</v>
      </c>
      <c r="U72" s="13">
        <v>0</v>
      </c>
      <c r="V72" s="13">
        <v>0</v>
      </c>
      <c r="W72" s="13">
        <f t="shared" si="8"/>
        <v>42759403.75</v>
      </c>
      <c r="X72" s="13">
        <v>0</v>
      </c>
      <c r="Y72" s="13">
        <v>0</v>
      </c>
      <c r="Z72" s="13">
        <v>389623.74</v>
      </c>
      <c r="AA72" s="13">
        <v>0</v>
      </c>
      <c r="AB72" s="13">
        <f t="shared" si="11"/>
        <v>389623.74</v>
      </c>
      <c r="AC72" s="13">
        <v>7310316.3899999997</v>
      </c>
      <c r="AD72" s="13">
        <v>22456532.620000001</v>
      </c>
      <c r="AE72" s="13">
        <v>2474755</v>
      </c>
      <c r="AF72" s="13">
        <f t="shared" si="12"/>
        <v>32241604.010000002</v>
      </c>
      <c r="AG72" s="13">
        <v>0</v>
      </c>
      <c r="AH72" s="13">
        <v>1449610.05</v>
      </c>
      <c r="AI72" s="14"/>
      <c r="AJ72" s="13">
        <f t="shared" si="15"/>
        <v>12279460.01</v>
      </c>
      <c r="AK72" s="15">
        <f t="shared" si="13"/>
        <v>43149027.490000002</v>
      </c>
      <c r="AL72" s="19">
        <v>-235</v>
      </c>
      <c r="AM72" s="8"/>
      <c r="AN72" s="13">
        <f t="shared" si="14"/>
        <v>89119466.560000002</v>
      </c>
    </row>
    <row r="73" spans="2:40" s="17" customFormat="1" x14ac:dyDescent="0.3">
      <c r="B73" s="27">
        <v>41548</v>
      </c>
      <c r="C73" s="13">
        <v>1662507.21</v>
      </c>
      <c r="D73" s="13">
        <v>0</v>
      </c>
      <c r="E73" s="13">
        <v>4753992.01</v>
      </c>
      <c r="F73" s="13">
        <v>87105.2</v>
      </c>
      <c r="G73" s="13">
        <f t="shared" si="9"/>
        <v>6503604.4199999999</v>
      </c>
      <c r="H73" s="13">
        <v>2803082.13</v>
      </c>
      <c r="I73" s="13">
        <v>801051.41</v>
      </c>
      <c r="J73" s="13">
        <v>6993943.8799999999</v>
      </c>
      <c r="K73" s="13">
        <f t="shared" si="10"/>
        <v>17101681.84</v>
      </c>
      <c r="L73" s="13">
        <v>0</v>
      </c>
      <c r="M73" s="13">
        <v>0</v>
      </c>
      <c r="N73" s="13">
        <v>95572033.019999996</v>
      </c>
      <c r="O73" s="13">
        <v>12102974.74</v>
      </c>
      <c r="P73" s="13">
        <v>173808.84</v>
      </c>
      <c r="Q73" s="13">
        <v>713151.43</v>
      </c>
      <c r="R73" s="13">
        <v>1167338.76</v>
      </c>
      <c r="S73" s="13">
        <v>147073.4</v>
      </c>
      <c r="T73" s="13">
        <v>0</v>
      </c>
      <c r="U73" s="13">
        <v>85934.88</v>
      </c>
      <c r="V73" s="13">
        <v>0</v>
      </c>
      <c r="W73" s="13">
        <f t="shared" si="8"/>
        <v>109962315.07000001</v>
      </c>
      <c r="X73" s="13">
        <v>0</v>
      </c>
      <c r="Y73" s="13">
        <v>0</v>
      </c>
      <c r="Z73" s="13">
        <v>359646.43</v>
      </c>
      <c r="AA73" s="13">
        <v>0</v>
      </c>
      <c r="AB73" s="13">
        <f t="shared" si="11"/>
        <v>359646.43</v>
      </c>
      <c r="AC73" s="13">
        <v>7310316.3899999997</v>
      </c>
      <c r="AD73" s="13">
        <v>22456532.620000001</v>
      </c>
      <c r="AE73" s="13">
        <v>70558323.049999997</v>
      </c>
      <c r="AF73" s="13">
        <f t="shared" si="12"/>
        <v>100325172.06</v>
      </c>
      <c r="AG73" s="13">
        <v>0</v>
      </c>
      <c r="AH73" s="13">
        <v>8791200</v>
      </c>
      <c r="AI73" s="14"/>
      <c r="AJ73" s="13">
        <f t="shared" si="15"/>
        <v>17101681.84</v>
      </c>
      <c r="AK73" s="15">
        <f t="shared" si="13"/>
        <v>110321961.50000001</v>
      </c>
      <c r="AL73" s="19">
        <v>0</v>
      </c>
      <c r="AM73" s="8"/>
      <c r="AN73" s="13">
        <f t="shared" si="14"/>
        <v>236540015.40000004</v>
      </c>
    </row>
    <row r="74" spans="2:40" s="17" customFormat="1" x14ac:dyDescent="0.3">
      <c r="B74" s="28">
        <v>41579</v>
      </c>
      <c r="C74" s="13">
        <v>2111557.0299999998</v>
      </c>
      <c r="D74" s="13">
        <v>0</v>
      </c>
      <c r="E74" s="13">
        <v>6324886.8099999996</v>
      </c>
      <c r="F74" s="13">
        <v>35929.74</v>
      </c>
      <c r="G74" s="13">
        <f t="shared" si="9"/>
        <v>8472373.5800000001</v>
      </c>
      <c r="H74" s="13">
        <v>5028319.54</v>
      </c>
      <c r="I74" s="13">
        <v>1363768.21</v>
      </c>
      <c r="J74" s="13">
        <v>1335183.92</v>
      </c>
      <c r="K74" s="13">
        <f t="shared" si="10"/>
        <v>16199645.250000002</v>
      </c>
      <c r="L74" s="13">
        <v>0</v>
      </c>
      <c r="M74" s="13">
        <v>0</v>
      </c>
      <c r="N74" s="13">
        <v>74332528.359999999</v>
      </c>
      <c r="O74" s="13">
        <v>0</v>
      </c>
      <c r="P74" s="13">
        <v>430048.45</v>
      </c>
      <c r="Q74" s="13">
        <v>1382456.61</v>
      </c>
      <c r="R74" s="13">
        <v>0</v>
      </c>
      <c r="S74" s="13">
        <v>116815.72</v>
      </c>
      <c r="T74" s="13">
        <v>0</v>
      </c>
      <c r="U74" s="13">
        <v>156611.26999999999</v>
      </c>
      <c r="V74" s="13">
        <v>0</v>
      </c>
      <c r="W74" s="13">
        <f t="shared" si="8"/>
        <v>76418460.409999996</v>
      </c>
      <c r="X74" s="13">
        <v>0</v>
      </c>
      <c r="Y74" s="13">
        <v>0</v>
      </c>
      <c r="Z74" s="13">
        <v>275988.71000000002</v>
      </c>
      <c r="AA74" s="13">
        <v>0</v>
      </c>
      <c r="AB74" s="13">
        <f t="shared" si="11"/>
        <v>275988.71000000002</v>
      </c>
      <c r="AC74" s="13">
        <v>7310316.3700000001</v>
      </c>
      <c r="AD74" s="13">
        <v>22456532.620000001</v>
      </c>
      <c r="AE74" s="13">
        <v>11599414.619999999</v>
      </c>
      <c r="AF74" s="13">
        <f t="shared" si="12"/>
        <v>41366263.609999999</v>
      </c>
      <c r="AG74" s="13">
        <v>0</v>
      </c>
      <c r="AH74" s="13">
        <v>0</v>
      </c>
      <c r="AI74" s="14"/>
      <c r="AJ74" s="13">
        <f t="shared" si="15"/>
        <v>16199645.250000002</v>
      </c>
      <c r="AK74" s="15">
        <f t="shared" si="13"/>
        <v>76694449.11999999</v>
      </c>
      <c r="AL74" s="19">
        <v>0</v>
      </c>
      <c r="AM74" s="8"/>
      <c r="AN74" s="13">
        <f t="shared" si="14"/>
        <v>134260357.97999999</v>
      </c>
    </row>
    <row r="75" spans="2:40" s="17" customFormat="1" x14ac:dyDescent="0.3">
      <c r="B75" s="29">
        <v>41609</v>
      </c>
      <c r="C75" s="13">
        <v>4010002.39</v>
      </c>
      <c r="D75" s="13">
        <v>0</v>
      </c>
      <c r="E75" s="13">
        <v>7422385.1200000001</v>
      </c>
      <c r="F75" s="13">
        <v>39902.329999999994</v>
      </c>
      <c r="G75" s="13">
        <f t="shared" si="9"/>
        <v>11472289.84</v>
      </c>
      <c r="H75" s="13">
        <v>4306480.01</v>
      </c>
      <c r="I75" s="13">
        <v>1598550.63</v>
      </c>
      <c r="J75" s="13">
        <v>1430926.49</v>
      </c>
      <c r="K75" s="13">
        <f t="shared" si="10"/>
        <v>18808246.969999999</v>
      </c>
      <c r="L75" s="13">
        <v>0</v>
      </c>
      <c r="M75" s="13">
        <v>0</v>
      </c>
      <c r="N75" s="13">
        <v>62854395.939999998</v>
      </c>
      <c r="O75" s="13">
        <v>8796682.9800000004</v>
      </c>
      <c r="P75" s="13">
        <v>173808.84</v>
      </c>
      <c r="Q75" s="13">
        <v>708071.46</v>
      </c>
      <c r="R75" s="13">
        <v>1076948.27</v>
      </c>
      <c r="S75" s="13">
        <v>121273.02</v>
      </c>
      <c r="T75" s="13">
        <v>20</v>
      </c>
      <c r="U75" s="13">
        <v>86953.3</v>
      </c>
      <c r="V75" s="13">
        <v>0</v>
      </c>
      <c r="W75" s="13">
        <f t="shared" si="8"/>
        <v>73818153.809999987</v>
      </c>
      <c r="X75" s="13">
        <v>0</v>
      </c>
      <c r="Y75" s="13">
        <v>0</v>
      </c>
      <c r="Z75" s="13">
        <v>403762.75</v>
      </c>
      <c r="AA75" s="13">
        <v>0</v>
      </c>
      <c r="AB75" s="13">
        <f t="shared" si="11"/>
        <v>403762.75</v>
      </c>
      <c r="AC75" s="13">
        <v>0</v>
      </c>
      <c r="AD75" s="13">
        <v>44913064.579999998</v>
      </c>
      <c r="AE75" s="13">
        <v>21857176.32</v>
      </c>
      <c r="AF75" s="13">
        <f t="shared" si="12"/>
        <v>66770240.899999999</v>
      </c>
      <c r="AG75" s="13">
        <v>0</v>
      </c>
      <c r="AH75" s="13">
        <v>29880999.949999999</v>
      </c>
      <c r="AI75" s="14"/>
      <c r="AJ75" s="13">
        <f t="shared" si="15"/>
        <v>18808246.969999999</v>
      </c>
      <c r="AK75" s="15">
        <f t="shared" si="13"/>
        <v>74221916.559999987</v>
      </c>
      <c r="AL75" s="19">
        <v>9187300.1600000001</v>
      </c>
      <c r="AM75" s="8"/>
      <c r="AN75" s="13">
        <f t="shared" si="14"/>
        <v>198868704.53999996</v>
      </c>
    </row>
    <row r="76" spans="2:40" s="17" customFormat="1" x14ac:dyDescent="0.3">
      <c r="B76" s="12">
        <v>41640</v>
      </c>
      <c r="C76" s="13">
        <v>78063449.989999995</v>
      </c>
      <c r="D76" s="13">
        <v>0</v>
      </c>
      <c r="E76" s="13">
        <v>4171926.77</v>
      </c>
      <c r="F76" s="13">
        <v>293072.03000000003</v>
      </c>
      <c r="G76" s="13">
        <f t="shared" si="9"/>
        <v>82528448.789999992</v>
      </c>
      <c r="H76" s="13">
        <v>5278203.59</v>
      </c>
      <c r="I76" s="13">
        <v>411995.82</v>
      </c>
      <c r="J76" s="13">
        <v>6933649.5099999998</v>
      </c>
      <c r="K76" s="13">
        <f t="shared" si="10"/>
        <v>95152297.709999993</v>
      </c>
      <c r="L76" s="13">
        <v>0</v>
      </c>
      <c r="M76" s="13">
        <v>0</v>
      </c>
      <c r="N76" s="13">
        <v>62360508.420000002</v>
      </c>
      <c r="O76" s="13">
        <v>7459274.1699999999</v>
      </c>
      <c r="P76" s="13">
        <v>173808.84</v>
      </c>
      <c r="Q76" s="13">
        <v>700702.87</v>
      </c>
      <c r="R76" s="13">
        <v>464689.71</v>
      </c>
      <c r="S76" s="13">
        <v>128796.68</v>
      </c>
      <c r="T76" s="13">
        <v>0</v>
      </c>
      <c r="U76" s="13">
        <v>89561.59</v>
      </c>
      <c r="V76" s="13">
        <v>0</v>
      </c>
      <c r="W76" s="13">
        <f t="shared" si="8"/>
        <v>71377342.280000016</v>
      </c>
      <c r="X76" s="13">
        <v>0</v>
      </c>
      <c r="Y76" s="13">
        <v>0</v>
      </c>
      <c r="Z76" s="13">
        <v>316659.13</v>
      </c>
      <c r="AA76" s="13">
        <v>0</v>
      </c>
      <c r="AB76" s="13">
        <f t="shared" si="11"/>
        <v>316659.13</v>
      </c>
      <c r="AC76" s="13">
        <v>0</v>
      </c>
      <c r="AD76" s="13">
        <v>0</v>
      </c>
      <c r="AE76" s="13">
        <v>0</v>
      </c>
      <c r="AF76" s="13">
        <f t="shared" si="12"/>
        <v>0</v>
      </c>
      <c r="AG76" s="13">
        <v>0</v>
      </c>
      <c r="AH76" s="13">
        <v>0</v>
      </c>
      <c r="AI76" s="14"/>
      <c r="AJ76" s="13">
        <f t="shared" si="15"/>
        <v>95152297.709999993</v>
      </c>
      <c r="AK76" s="15">
        <f t="shared" si="13"/>
        <v>71694001.410000011</v>
      </c>
      <c r="AL76" s="19">
        <v>-1081588.49</v>
      </c>
      <c r="AM76" s="8"/>
      <c r="AN76" s="13">
        <f t="shared" si="14"/>
        <v>165764710.63</v>
      </c>
    </row>
    <row r="77" spans="2:40" s="17" customFormat="1" x14ac:dyDescent="0.3">
      <c r="B77" s="18">
        <v>41671</v>
      </c>
      <c r="C77" s="13">
        <v>10449663.84</v>
      </c>
      <c r="D77" s="13">
        <v>0</v>
      </c>
      <c r="E77" s="13">
        <v>3640687.31</v>
      </c>
      <c r="F77" s="13">
        <v>216797.51</v>
      </c>
      <c r="G77" s="13">
        <f t="shared" si="9"/>
        <v>14307148.66</v>
      </c>
      <c r="H77" s="13">
        <v>3224196.13</v>
      </c>
      <c r="I77" s="13">
        <v>1253364.6200000001</v>
      </c>
      <c r="J77" s="13">
        <v>2006735.98</v>
      </c>
      <c r="K77" s="13">
        <f t="shared" si="10"/>
        <v>20791445.390000001</v>
      </c>
      <c r="L77" s="13">
        <v>0</v>
      </c>
      <c r="M77" s="13">
        <v>0</v>
      </c>
      <c r="N77" s="13">
        <v>17831926.02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f t="shared" si="8"/>
        <v>17831926.02</v>
      </c>
      <c r="X77" s="13">
        <v>0</v>
      </c>
      <c r="Y77" s="13">
        <v>0</v>
      </c>
      <c r="Z77" s="13">
        <v>0</v>
      </c>
      <c r="AA77" s="13">
        <v>0</v>
      </c>
      <c r="AB77" s="13">
        <f t="shared" si="11"/>
        <v>0</v>
      </c>
      <c r="AC77" s="13">
        <v>6560843.4800000004</v>
      </c>
      <c r="AD77" s="13">
        <v>24178658.109999999</v>
      </c>
      <c r="AE77" s="13">
        <v>0</v>
      </c>
      <c r="AF77" s="13">
        <f t="shared" si="12"/>
        <v>30739501.59</v>
      </c>
      <c r="AG77" s="13">
        <v>0</v>
      </c>
      <c r="AH77" s="13">
        <v>0</v>
      </c>
      <c r="AI77" s="14"/>
      <c r="AJ77" s="13">
        <f t="shared" si="15"/>
        <v>20791445.390000001</v>
      </c>
      <c r="AK77" s="15">
        <f t="shared" si="13"/>
        <v>17831926.02</v>
      </c>
      <c r="AL77" s="19">
        <v>-230394.05</v>
      </c>
      <c r="AM77" s="8"/>
      <c r="AN77" s="13">
        <f t="shared" si="14"/>
        <v>69132478.950000003</v>
      </c>
    </row>
    <row r="78" spans="2:40" s="17" customFormat="1" x14ac:dyDescent="0.3">
      <c r="B78" s="20">
        <v>41699</v>
      </c>
      <c r="C78" s="13">
        <v>9318318.1099999994</v>
      </c>
      <c r="D78" s="13">
        <v>0</v>
      </c>
      <c r="E78" s="13">
        <v>5771883.7400000002</v>
      </c>
      <c r="F78" s="13">
        <v>203447.11</v>
      </c>
      <c r="G78" s="13">
        <f t="shared" si="9"/>
        <v>15293648.959999999</v>
      </c>
      <c r="H78" s="13">
        <v>3161975.03</v>
      </c>
      <c r="I78" s="13">
        <v>1103238.54</v>
      </c>
      <c r="J78" s="13">
        <v>1392889.3</v>
      </c>
      <c r="K78" s="13">
        <f t="shared" si="10"/>
        <v>20951751.829999998</v>
      </c>
      <c r="L78" s="13">
        <v>0</v>
      </c>
      <c r="M78" s="13">
        <v>0</v>
      </c>
      <c r="N78" s="13">
        <v>132926792.16</v>
      </c>
      <c r="O78" s="13">
        <v>10037421.16</v>
      </c>
      <c r="P78" s="13">
        <v>751534.71</v>
      </c>
      <c r="Q78" s="13">
        <v>2059851.05</v>
      </c>
      <c r="R78" s="13">
        <v>708395.63</v>
      </c>
      <c r="S78" s="13">
        <v>985638.01</v>
      </c>
      <c r="T78" s="13">
        <v>0</v>
      </c>
      <c r="U78" s="13">
        <v>130327.72</v>
      </c>
      <c r="V78" s="13">
        <v>0</v>
      </c>
      <c r="W78" s="13">
        <f t="shared" si="8"/>
        <v>147599960.44</v>
      </c>
      <c r="X78" s="13">
        <v>0</v>
      </c>
      <c r="Y78" s="13">
        <v>0</v>
      </c>
      <c r="Z78" s="13">
        <v>758178.88</v>
      </c>
      <c r="AA78" s="13">
        <v>0</v>
      </c>
      <c r="AB78" s="13">
        <f t="shared" si="11"/>
        <v>758178.88</v>
      </c>
      <c r="AC78" s="13">
        <v>6644032.1799999997</v>
      </c>
      <c r="AD78" s="13">
        <v>24178658.109999999</v>
      </c>
      <c r="AE78" s="13">
        <v>0</v>
      </c>
      <c r="AF78" s="13">
        <f t="shared" si="12"/>
        <v>30822690.289999999</v>
      </c>
      <c r="AG78" s="13">
        <v>0</v>
      </c>
      <c r="AH78" s="13">
        <v>0</v>
      </c>
      <c r="AI78" s="14"/>
      <c r="AJ78" s="13">
        <f t="shared" si="15"/>
        <v>20951751.829999998</v>
      </c>
      <c r="AK78" s="15">
        <f t="shared" si="13"/>
        <v>148358139.31999999</v>
      </c>
      <c r="AL78" s="19">
        <v>-5091699.9400000004</v>
      </c>
      <c r="AM78" s="8"/>
      <c r="AN78" s="13">
        <f t="shared" si="14"/>
        <v>195040881.49999997</v>
      </c>
    </row>
    <row r="79" spans="2:40" s="17" customFormat="1" x14ac:dyDescent="0.3">
      <c r="B79" s="21">
        <v>41730</v>
      </c>
      <c r="C79" s="13">
        <v>2554641.1000000015</v>
      </c>
      <c r="D79" s="13">
        <v>26456591</v>
      </c>
      <c r="E79" s="13">
        <v>4005330.77</v>
      </c>
      <c r="F79" s="13">
        <v>72329.599999999991</v>
      </c>
      <c r="G79" s="13">
        <f t="shared" si="9"/>
        <v>33088892.470000003</v>
      </c>
      <c r="H79" s="13">
        <v>1993981.61</v>
      </c>
      <c r="I79" s="13">
        <v>526276.96</v>
      </c>
      <c r="J79" s="13">
        <v>678124.35</v>
      </c>
      <c r="K79" s="13">
        <f t="shared" si="10"/>
        <v>36287275.390000008</v>
      </c>
      <c r="L79" s="13">
        <v>0</v>
      </c>
      <c r="M79" s="13">
        <v>0</v>
      </c>
      <c r="N79" s="13">
        <v>0</v>
      </c>
      <c r="O79" s="13">
        <v>6322244.4500000002</v>
      </c>
      <c r="P79" s="13">
        <v>0</v>
      </c>
      <c r="Q79" s="13">
        <v>0</v>
      </c>
      <c r="R79" s="13">
        <v>452824.63</v>
      </c>
      <c r="S79" s="13">
        <v>0</v>
      </c>
      <c r="T79" s="13">
        <v>0</v>
      </c>
      <c r="U79" s="13">
        <v>0</v>
      </c>
      <c r="V79" s="13">
        <v>0</v>
      </c>
      <c r="W79" s="13">
        <f t="shared" si="8"/>
        <v>6775069.0800000001</v>
      </c>
      <c r="X79" s="13">
        <v>0</v>
      </c>
      <c r="Y79" s="13">
        <v>0</v>
      </c>
      <c r="Z79" s="13">
        <v>0</v>
      </c>
      <c r="AA79" s="13">
        <v>0</v>
      </c>
      <c r="AB79" s="13">
        <f t="shared" si="11"/>
        <v>0</v>
      </c>
      <c r="AC79" s="13">
        <v>13288064.359999999</v>
      </c>
      <c r="AD79" s="13">
        <v>48357316.219999999</v>
      </c>
      <c r="AE79" s="13">
        <v>9701892.3399999999</v>
      </c>
      <c r="AF79" s="13">
        <f t="shared" si="12"/>
        <v>71347272.920000002</v>
      </c>
      <c r="AG79" s="13">
        <v>0</v>
      </c>
      <c r="AH79" s="13">
        <v>0</v>
      </c>
      <c r="AI79" s="14"/>
      <c r="AJ79" s="13">
        <f t="shared" si="15"/>
        <v>36287275.390000008</v>
      </c>
      <c r="AK79" s="15">
        <f t="shared" si="13"/>
        <v>6775069.0800000001</v>
      </c>
      <c r="AL79" s="19">
        <v>-1389865.61</v>
      </c>
      <c r="AM79" s="8"/>
      <c r="AN79" s="13">
        <f t="shared" si="14"/>
        <v>113019751.78000002</v>
      </c>
    </row>
    <row r="80" spans="2:40" s="17" customFormat="1" x14ac:dyDescent="0.3">
      <c r="B80" s="22">
        <v>41760</v>
      </c>
      <c r="C80" s="13">
        <v>1989876.74</v>
      </c>
      <c r="D80" s="13">
        <v>0</v>
      </c>
      <c r="E80" s="13">
        <v>2961985.61</v>
      </c>
      <c r="F80" s="13">
        <v>36359.96</v>
      </c>
      <c r="G80" s="13">
        <f t="shared" si="9"/>
        <v>4988222.3099999996</v>
      </c>
      <c r="H80" s="13">
        <v>26148494.399999999</v>
      </c>
      <c r="I80" s="13">
        <v>17361986.93</v>
      </c>
      <c r="J80" s="13">
        <v>3070007.19</v>
      </c>
      <c r="K80" s="13">
        <f t="shared" si="10"/>
        <v>51568710.829999998</v>
      </c>
      <c r="L80" s="13">
        <v>0</v>
      </c>
      <c r="M80" s="13">
        <v>0</v>
      </c>
      <c r="N80" s="13">
        <v>121245355.42</v>
      </c>
      <c r="O80" s="13">
        <v>7911042.9900000002</v>
      </c>
      <c r="P80" s="13">
        <v>617502.97</v>
      </c>
      <c r="Q80" s="13">
        <v>1816867.1</v>
      </c>
      <c r="R80" s="13">
        <v>517777.81</v>
      </c>
      <c r="S80" s="13">
        <v>1113929.3500000001</v>
      </c>
      <c r="T80" s="13">
        <v>0</v>
      </c>
      <c r="U80" s="13">
        <v>140336.65</v>
      </c>
      <c r="V80" s="13">
        <v>0</v>
      </c>
      <c r="W80" s="13">
        <f t="shared" si="8"/>
        <v>133362812.28999999</v>
      </c>
      <c r="X80" s="13">
        <v>0</v>
      </c>
      <c r="Y80" s="13">
        <v>0</v>
      </c>
      <c r="Z80" s="13">
        <v>632175.64</v>
      </c>
      <c r="AA80" s="13">
        <v>0</v>
      </c>
      <c r="AB80" s="13">
        <f t="shared" si="11"/>
        <v>632175.64</v>
      </c>
      <c r="AC80" s="13">
        <v>0</v>
      </c>
      <c r="AD80" s="13">
        <v>0</v>
      </c>
      <c r="AE80" s="13">
        <v>9240350.5199999996</v>
      </c>
      <c r="AF80" s="13">
        <f t="shared" si="12"/>
        <v>9240350.5199999996</v>
      </c>
      <c r="AG80" s="13">
        <v>0</v>
      </c>
      <c r="AH80" s="13">
        <v>0</v>
      </c>
      <c r="AI80" s="14"/>
      <c r="AJ80" s="13">
        <f t="shared" si="15"/>
        <v>51568710.829999998</v>
      </c>
      <c r="AK80" s="15">
        <f t="shared" si="13"/>
        <v>133994987.92999999</v>
      </c>
      <c r="AL80" s="19">
        <v>0</v>
      </c>
      <c r="AM80" s="8"/>
      <c r="AN80" s="13">
        <f t="shared" si="14"/>
        <v>194804049.28</v>
      </c>
    </row>
    <row r="81" spans="2:40" s="17" customFormat="1" x14ac:dyDescent="0.3">
      <c r="B81" s="23">
        <v>41791</v>
      </c>
      <c r="C81" s="13">
        <v>1958336.38</v>
      </c>
      <c r="D81" s="13">
        <v>0</v>
      </c>
      <c r="E81" s="13">
        <v>6095673.9400000004</v>
      </c>
      <c r="F81" s="13">
        <v>68632.509999999995</v>
      </c>
      <c r="G81" s="13">
        <f t="shared" si="9"/>
        <v>8122642.8300000001</v>
      </c>
      <c r="H81" s="13">
        <v>4342448.03</v>
      </c>
      <c r="I81" s="13">
        <v>1301794.21</v>
      </c>
      <c r="J81" s="13">
        <v>737152.37</v>
      </c>
      <c r="K81" s="13">
        <f t="shared" si="10"/>
        <v>14504037.439999999</v>
      </c>
      <c r="L81" s="13">
        <v>0</v>
      </c>
      <c r="M81" s="13">
        <v>0</v>
      </c>
      <c r="N81" s="13">
        <v>10013261.140000001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f t="shared" si="8"/>
        <v>10013261.140000001</v>
      </c>
      <c r="X81" s="13">
        <v>0</v>
      </c>
      <c r="Y81" s="13">
        <v>0</v>
      </c>
      <c r="Z81" s="13">
        <v>0</v>
      </c>
      <c r="AA81" s="13">
        <v>0</v>
      </c>
      <c r="AB81" s="13">
        <f t="shared" si="11"/>
        <v>0</v>
      </c>
      <c r="AC81" s="13">
        <v>6644032.1799999997</v>
      </c>
      <c r="AD81" s="13">
        <v>24178658.109999999</v>
      </c>
      <c r="AE81" s="13">
        <v>0</v>
      </c>
      <c r="AF81" s="13">
        <f t="shared" si="12"/>
        <v>30822690.289999999</v>
      </c>
      <c r="AG81" s="13">
        <v>0</v>
      </c>
      <c r="AH81" s="13">
        <v>3992000</v>
      </c>
      <c r="AI81" s="14"/>
      <c r="AJ81" s="13">
        <f t="shared" si="15"/>
        <v>14504037.439999999</v>
      </c>
      <c r="AK81" s="15">
        <f t="shared" si="13"/>
        <v>10013261.140000001</v>
      </c>
      <c r="AL81" s="19">
        <v>-153</v>
      </c>
      <c r="AM81" s="8"/>
      <c r="AN81" s="13">
        <f t="shared" si="14"/>
        <v>59331835.869999997</v>
      </c>
    </row>
    <row r="82" spans="2:40" s="17" customFormat="1" x14ac:dyDescent="0.3">
      <c r="B82" s="24">
        <v>41821</v>
      </c>
      <c r="C82" s="13">
        <v>3843861.91</v>
      </c>
      <c r="D82" s="13">
        <v>0</v>
      </c>
      <c r="E82" s="13">
        <v>6088207.21</v>
      </c>
      <c r="F82" s="13">
        <v>390520.57999999996</v>
      </c>
      <c r="G82" s="13">
        <f t="shared" si="9"/>
        <v>10322589.700000001</v>
      </c>
      <c r="H82" s="13">
        <v>2499179.58</v>
      </c>
      <c r="I82" s="13">
        <v>1820536.08</v>
      </c>
      <c r="J82" s="13">
        <v>3535216.58</v>
      </c>
      <c r="K82" s="13">
        <f t="shared" si="10"/>
        <v>18177521.940000001</v>
      </c>
      <c r="L82" s="13">
        <v>0</v>
      </c>
      <c r="M82" s="13">
        <v>0</v>
      </c>
      <c r="N82" s="13">
        <v>52854562.75</v>
      </c>
      <c r="O82" s="13">
        <v>14537910.85</v>
      </c>
      <c r="P82" s="13">
        <v>257032.25</v>
      </c>
      <c r="Q82" s="13">
        <v>981039.65</v>
      </c>
      <c r="R82" s="13">
        <v>933394.87</v>
      </c>
      <c r="S82" s="13">
        <v>0</v>
      </c>
      <c r="T82" s="13">
        <v>602238.23</v>
      </c>
      <c r="U82" s="13">
        <v>80378.539999999994</v>
      </c>
      <c r="V82" s="13">
        <v>0</v>
      </c>
      <c r="W82" s="13">
        <f t="shared" si="8"/>
        <v>70246557.140000015</v>
      </c>
      <c r="X82" s="13">
        <v>0</v>
      </c>
      <c r="Y82" s="13">
        <v>0</v>
      </c>
      <c r="Z82" s="13">
        <v>329197.84999999998</v>
      </c>
      <c r="AA82" s="13">
        <v>0</v>
      </c>
      <c r="AB82" s="13">
        <f t="shared" si="11"/>
        <v>329197.84999999998</v>
      </c>
      <c r="AC82" s="13">
        <v>6644032.1799999997</v>
      </c>
      <c r="AD82" s="13">
        <v>24178658.109999999</v>
      </c>
      <c r="AE82" s="13">
        <v>24919820.93</v>
      </c>
      <c r="AF82" s="13">
        <f t="shared" si="12"/>
        <v>55742511.219999999</v>
      </c>
      <c r="AG82" s="13">
        <v>0</v>
      </c>
      <c r="AH82" s="13">
        <v>0</v>
      </c>
      <c r="AI82" s="14"/>
      <c r="AJ82" s="13">
        <f t="shared" si="15"/>
        <v>18177521.940000001</v>
      </c>
      <c r="AK82" s="15">
        <f t="shared" si="13"/>
        <v>70575754.99000001</v>
      </c>
      <c r="AL82" s="19">
        <v>-42063.46</v>
      </c>
      <c r="AM82" s="8"/>
      <c r="AN82" s="13">
        <f t="shared" si="14"/>
        <v>144453724.69</v>
      </c>
    </row>
    <row r="83" spans="2:40" s="17" customFormat="1" x14ac:dyDescent="0.3">
      <c r="B83" s="25">
        <v>41852</v>
      </c>
      <c r="C83" s="13">
        <v>2491534.0299999998</v>
      </c>
      <c r="D83" s="13">
        <v>0</v>
      </c>
      <c r="E83" s="13">
        <v>3414260.42</v>
      </c>
      <c r="F83" s="13">
        <v>84675.760000000009</v>
      </c>
      <c r="G83" s="13">
        <f t="shared" si="9"/>
        <v>5990470.209999999</v>
      </c>
      <c r="H83" s="13">
        <v>3333570.91</v>
      </c>
      <c r="I83" s="13">
        <v>1860532.85</v>
      </c>
      <c r="J83" s="13">
        <v>800733.64</v>
      </c>
      <c r="K83" s="13">
        <f t="shared" si="10"/>
        <v>11985307.609999999</v>
      </c>
      <c r="L83" s="13">
        <v>0</v>
      </c>
      <c r="M83" s="13">
        <v>0</v>
      </c>
      <c r="N83" s="13">
        <v>116716393.11</v>
      </c>
      <c r="O83" s="13">
        <v>7331363.6799999997</v>
      </c>
      <c r="P83" s="13">
        <v>756006.98</v>
      </c>
      <c r="Q83" s="13">
        <v>1838007.88</v>
      </c>
      <c r="R83" s="13">
        <v>552152.39</v>
      </c>
      <c r="S83" s="13">
        <v>0</v>
      </c>
      <c r="T83" s="13">
        <v>1158935.1499999999</v>
      </c>
      <c r="U83" s="13">
        <v>152716.42000000001</v>
      </c>
      <c r="V83" s="13">
        <v>0</v>
      </c>
      <c r="W83" s="13">
        <f t="shared" si="8"/>
        <v>128505575.61</v>
      </c>
      <c r="X83" s="13">
        <v>0</v>
      </c>
      <c r="Y83" s="13">
        <v>0</v>
      </c>
      <c r="Z83" s="13">
        <v>996953.62</v>
      </c>
      <c r="AA83" s="13">
        <v>0</v>
      </c>
      <c r="AB83" s="13">
        <f t="shared" si="11"/>
        <v>996953.62</v>
      </c>
      <c r="AC83" s="13">
        <v>18669582.710000001</v>
      </c>
      <c r="AD83" s="13">
        <v>24178658.109999999</v>
      </c>
      <c r="AE83" s="13">
        <f>13697235.9</f>
        <v>13697235.9</v>
      </c>
      <c r="AF83" s="13">
        <f t="shared" si="12"/>
        <v>56545476.719999999</v>
      </c>
      <c r="AG83" s="13">
        <v>0</v>
      </c>
      <c r="AH83" s="13">
        <v>130207575.13</v>
      </c>
      <c r="AI83" s="14"/>
      <c r="AJ83" s="13">
        <f t="shared" si="15"/>
        <v>11985307.609999999</v>
      </c>
      <c r="AK83" s="15">
        <f t="shared" si="13"/>
        <v>129502529.23</v>
      </c>
      <c r="AL83" s="19">
        <v>0</v>
      </c>
      <c r="AM83" s="8"/>
      <c r="AN83" s="13">
        <f t="shared" si="14"/>
        <v>328240888.69</v>
      </c>
    </row>
    <row r="84" spans="2:40" s="17" customFormat="1" x14ac:dyDescent="0.3">
      <c r="B84" s="26">
        <v>41883</v>
      </c>
      <c r="C84" s="13">
        <v>-24235922.489999998</v>
      </c>
      <c r="D84" s="13">
        <v>0</v>
      </c>
      <c r="E84" s="13">
        <v>6163912.3099999996</v>
      </c>
      <c r="F84" s="13">
        <v>20378.07</v>
      </c>
      <c r="G84" s="13">
        <f>SUM(C84:F84)</f>
        <v>-18051632.109999999</v>
      </c>
      <c r="H84" s="13">
        <v>4192046.94</v>
      </c>
      <c r="I84" s="13">
        <v>704044.49</v>
      </c>
      <c r="J84" s="13">
        <v>855893.25</v>
      </c>
      <c r="K84" s="13">
        <f>SUM(G84:J84)</f>
        <v>-12299647.43</v>
      </c>
      <c r="L84" s="13">
        <v>0</v>
      </c>
      <c r="M84" s="13">
        <v>0</v>
      </c>
      <c r="N84" s="13">
        <v>74525474.349999994</v>
      </c>
      <c r="O84" s="13">
        <v>6242376.7000000002</v>
      </c>
      <c r="P84" s="13">
        <v>248766.01</v>
      </c>
      <c r="Q84" s="13">
        <v>936528.8</v>
      </c>
      <c r="R84" s="13">
        <v>580448.06999999995</v>
      </c>
      <c r="S84" s="13">
        <v>2338876.4500000002</v>
      </c>
      <c r="T84" s="13">
        <v>-1761173.38</v>
      </c>
      <c r="U84" s="13">
        <v>83712.37</v>
      </c>
      <c r="V84" s="13">
        <v>0</v>
      </c>
      <c r="W84" s="13">
        <f t="shared" si="8"/>
        <v>83195009.370000005</v>
      </c>
      <c r="X84" s="13">
        <v>0</v>
      </c>
      <c r="Y84" s="13">
        <v>0</v>
      </c>
      <c r="Z84" s="13">
        <v>352768.56</v>
      </c>
      <c r="AA84" s="13">
        <v>0</v>
      </c>
      <c r="AB84" s="13">
        <f t="shared" si="11"/>
        <v>352768.56</v>
      </c>
      <c r="AC84" s="13">
        <v>8350083.8700000001</v>
      </c>
      <c r="AD84" s="13">
        <v>24178658.109999999</v>
      </c>
      <c r="AE84" s="13">
        <v>94377902.959999993</v>
      </c>
      <c r="AF84" s="13">
        <f t="shared" si="12"/>
        <v>126906644.94</v>
      </c>
      <c r="AG84" s="13">
        <v>0</v>
      </c>
      <c r="AH84" s="13">
        <v>7769126.9800000004</v>
      </c>
      <c r="AI84" s="14"/>
      <c r="AJ84" s="13">
        <f t="shared" si="15"/>
        <v>-12299647.43</v>
      </c>
      <c r="AK84" s="15">
        <f t="shared" si="13"/>
        <v>83547777.930000007</v>
      </c>
      <c r="AL84" s="19">
        <v>0</v>
      </c>
      <c r="AM84" s="8"/>
      <c r="AN84" s="13">
        <f t="shared" si="14"/>
        <v>205923902.41999999</v>
      </c>
    </row>
    <row r="85" spans="2:40" s="17" customFormat="1" x14ac:dyDescent="0.3">
      <c r="B85" s="27">
        <v>41913</v>
      </c>
      <c r="C85" s="13">
        <v>2269128.39</v>
      </c>
      <c r="D85" s="13">
        <v>0</v>
      </c>
      <c r="E85" s="13">
        <v>4638287.38</v>
      </c>
      <c r="F85" s="13">
        <v>610169.26</v>
      </c>
      <c r="G85" s="13">
        <f t="shared" si="9"/>
        <v>7517585.0299999993</v>
      </c>
      <c r="H85" s="13">
        <v>2991014.66</v>
      </c>
      <c r="I85" s="13">
        <v>1089054.46</v>
      </c>
      <c r="J85" s="13">
        <v>4437753.4000000004</v>
      </c>
      <c r="K85" s="13">
        <f t="shared" si="10"/>
        <v>16035407.549999999</v>
      </c>
      <c r="L85" s="13">
        <v>0</v>
      </c>
      <c r="M85" s="13">
        <v>0</v>
      </c>
      <c r="N85" s="13">
        <v>0</v>
      </c>
      <c r="O85" s="13">
        <v>7277648.7599999998</v>
      </c>
      <c r="P85" s="13">
        <v>0</v>
      </c>
      <c r="Q85" s="13">
        <v>0</v>
      </c>
      <c r="R85" s="13">
        <v>559309.31999999995</v>
      </c>
      <c r="S85" s="13">
        <v>0</v>
      </c>
      <c r="T85" s="13">
        <v>0</v>
      </c>
      <c r="U85" s="13">
        <v>0</v>
      </c>
      <c r="V85" s="13">
        <v>0</v>
      </c>
      <c r="W85" s="13">
        <f t="shared" si="8"/>
        <v>7836958.0800000001</v>
      </c>
      <c r="X85" s="13">
        <v>0</v>
      </c>
      <c r="Y85" s="13">
        <v>0</v>
      </c>
      <c r="Z85" s="13">
        <v>0</v>
      </c>
      <c r="AA85" s="13">
        <v>0</v>
      </c>
      <c r="AB85" s="13">
        <f t="shared" si="11"/>
        <v>0</v>
      </c>
      <c r="AC85" s="13">
        <v>8350083.8700000001</v>
      </c>
      <c r="AD85" s="13">
        <v>24178658.109999999</v>
      </c>
      <c r="AE85" s="13">
        <v>1876919</v>
      </c>
      <c r="AF85" s="13">
        <f t="shared" si="12"/>
        <v>34405660.980000004</v>
      </c>
      <c r="AG85" s="13">
        <v>0</v>
      </c>
      <c r="AH85" s="13">
        <v>550000</v>
      </c>
      <c r="AI85" s="14"/>
      <c r="AJ85" s="13">
        <f t="shared" si="15"/>
        <v>16035407.549999999</v>
      </c>
      <c r="AK85" s="15">
        <f t="shared" si="13"/>
        <v>7836958.0800000001</v>
      </c>
      <c r="AL85" s="19">
        <v>0</v>
      </c>
      <c r="AM85" s="8"/>
      <c r="AN85" s="13">
        <f t="shared" si="14"/>
        <v>58828026.609999999</v>
      </c>
    </row>
    <row r="86" spans="2:40" s="17" customFormat="1" x14ac:dyDescent="0.3">
      <c r="B86" s="28">
        <v>41944</v>
      </c>
      <c r="C86" s="13">
        <v>2231554.7200000002</v>
      </c>
      <c r="D86" s="13">
        <v>0</v>
      </c>
      <c r="E86" s="13">
        <v>3311932.17</v>
      </c>
      <c r="F86" s="13">
        <v>252520.28</v>
      </c>
      <c r="G86" s="13">
        <f t="shared" si="9"/>
        <v>5796007.1700000009</v>
      </c>
      <c r="H86" s="13">
        <v>3712934.59</v>
      </c>
      <c r="I86" s="13">
        <v>997799.78</v>
      </c>
      <c r="J86" s="13">
        <v>557434.66</v>
      </c>
      <c r="K86" s="13">
        <f t="shared" si="10"/>
        <v>11064176.200000001</v>
      </c>
      <c r="L86" s="13">
        <v>0</v>
      </c>
      <c r="M86" s="13">
        <v>0</v>
      </c>
      <c r="N86" s="13">
        <v>64272632.18</v>
      </c>
      <c r="O86" s="13">
        <v>6514205.4800000004</v>
      </c>
      <c r="P86" s="13">
        <v>248766.01</v>
      </c>
      <c r="Q86" s="13">
        <v>0</v>
      </c>
      <c r="R86" s="13">
        <v>511527.62</v>
      </c>
      <c r="S86" s="13">
        <v>536139.98</v>
      </c>
      <c r="T86" s="13">
        <v>0</v>
      </c>
      <c r="U86" s="13">
        <v>88821.57</v>
      </c>
      <c r="V86" s="13">
        <v>0</v>
      </c>
      <c r="W86" s="13">
        <f t="shared" si="8"/>
        <v>72172092.840000004</v>
      </c>
      <c r="X86" s="13">
        <v>76611.06</v>
      </c>
      <c r="Y86" s="13">
        <v>0</v>
      </c>
      <c r="Z86" s="13">
        <v>410621.34</v>
      </c>
      <c r="AA86" s="13">
        <v>0</v>
      </c>
      <c r="AB86" s="13">
        <f t="shared" si="11"/>
        <v>487232.4</v>
      </c>
      <c r="AC86" s="13">
        <v>6644032.2000000002</v>
      </c>
      <c r="AD86" s="13">
        <v>24178658.109999999</v>
      </c>
      <c r="AE86" s="13">
        <v>160065099.90000001</v>
      </c>
      <c r="AF86" s="13">
        <f t="shared" si="12"/>
        <v>190887790.21000001</v>
      </c>
      <c r="AG86" s="13">
        <v>0</v>
      </c>
      <c r="AH86" s="13">
        <v>4327126.97</v>
      </c>
      <c r="AI86" s="14"/>
      <c r="AJ86" s="13">
        <f t="shared" si="15"/>
        <v>11064176.200000001</v>
      </c>
      <c r="AK86" s="15">
        <f t="shared" si="13"/>
        <v>72659325.24000001</v>
      </c>
      <c r="AL86" s="19">
        <v>0</v>
      </c>
      <c r="AM86" s="8"/>
      <c r="AN86" s="13">
        <f t="shared" si="14"/>
        <v>278938418.62000006</v>
      </c>
    </row>
    <row r="87" spans="2:40" s="17" customFormat="1" x14ac:dyDescent="0.3">
      <c r="B87" s="29">
        <v>41974</v>
      </c>
      <c r="C87" s="13">
        <v>6861251.1699999999</v>
      </c>
      <c r="D87" s="13">
        <v>0</v>
      </c>
      <c r="E87" s="13">
        <v>10417569.630000001</v>
      </c>
      <c r="F87" s="13">
        <v>201569.65</v>
      </c>
      <c r="G87" s="13">
        <f t="shared" si="9"/>
        <v>17480390.449999999</v>
      </c>
      <c r="H87" s="13">
        <v>3660547.31</v>
      </c>
      <c r="I87" s="13">
        <v>809716.96</v>
      </c>
      <c r="J87" s="13">
        <v>571479.99</v>
      </c>
      <c r="K87" s="13">
        <f t="shared" si="10"/>
        <v>22522134.709999997</v>
      </c>
      <c r="L87" s="13">
        <v>0</v>
      </c>
      <c r="M87" s="13">
        <v>0</v>
      </c>
      <c r="N87" s="13">
        <v>107992161.78</v>
      </c>
      <c r="O87" s="13">
        <v>12201120.58</v>
      </c>
      <c r="P87" s="13">
        <v>596495.35</v>
      </c>
      <c r="Q87" s="13">
        <v>2348217.1</v>
      </c>
      <c r="R87" s="13">
        <v>1173420.05</v>
      </c>
      <c r="S87" s="13">
        <v>1077671.21</v>
      </c>
      <c r="T87" s="13">
        <v>0</v>
      </c>
      <c r="U87" s="13">
        <v>109507.76</v>
      </c>
      <c r="V87" s="13">
        <v>0</v>
      </c>
      <c r="W87" s="13">
        <f t="shared" si="8"/>
        <v>125498593.82999998</v>
      </c>
      <c r="X87" s="13">
        <v>0</v>
      </c>
      <c r="Y87" s="13">
        <v>0</v>
      </c>
      <c r="Z87" s="13">
        <v>906836.89</v>
      </c>
      <c r="AA87" s="13">
        <v>0</v>
      </c>
      <c r="AB87" s="13">
        <f t="shared" si="11"/>
        <v>906836.89</v>
      </c>
      <c r="AC87" s="13">
        <v>1706051.69</v>
      </c>
      <c r="AD87" s="13">
        <v>48357317.030000001</v>
      </c>
      <c r="AE87" s="13">
        <v>87893623.319999993</v>
      </c>
      <c r="AF87" s="13">
        <f t="shared" si="12"/>
        <v>137956992.03999999</v>
      </c>
      <c r="AG87" s="13">
        <v>0</v>
      </c>
      <c r="AH87" s="13">
        <v>1600000</v>
      </c>
      <c r="AI87" s="14"/>
      <c r="AJ87" s="13">
        <f t="shared" si="15"/>
        <v>22522134.709999997</v>
      </c>
      <c r="AK87" s="15">
        <f t="shared" si="13"/>
        <v>126405430.71999998</v>
      </c>
      <c r="AL87" s="19">
        <v>44059257.390000001</v>
      </c>
      <c r="AM87" s="8"/>
      <c r="AN87" s="13">
        <f t="shared" si="14"/>
        <v>332543814.85999995</v>
      </c>
    </row>
    <row r="88" spans="2:40" s="17" customFormat="1" x14ac:dyDescent="0.3">
      <c r="B88" s="12">
        <v>42005</v>
      </c>
      <c r="C88" s="13">
        <v>80666354.450000003</v>
      </c>
      <c r="D88" s="13">
        <v>0</v>
      </c>
      <c r="E88" s="13">
        <v>4563407.5</v>
      </c>
      <c r="F88" s="13">
        <v>1230306.47</v>
      </c>
      <c r="G88" s="13">
        <f t="shared" si="9"/>
        <v>86460068.420000002</v>
      </c>
      <c r="H88" s="13">
        <v>4144988.66</v>
      </c>
      <c r="I88" s="13">
        <v>385762.28</v>
      </c>
      <c r="J88" s="13">
        <v>4468467.46</v>
      </c>
      <c r="K88" s="13">
        <f t="shared" si="10"/>
        <v>95459286.819999993</v>
      </c>
      <c r="L88" s="13">
        <v>0</v>
      </c>
      <c r="M88" s="13">
        <v>0</v>
      </c>
      <c r="N88" s="13">
        <v>8978381.5999999996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f t="shared" si="8"/>
        <v>8978381.5999999996</v>
      </c>
      <c r="X88" s="13">
        <v>0</v>
      </c>
      <c r="Y88" s="13">
        <v>0</v>
      </c>
      <c r="Z88" s="13">
        <v>0</v>
      </c>
      <c r="AA88" s="13">
        <v>0</v>
      </c>
      <c r="AB88" s="13">
        <f t="shared" si="11"/>
        <v>0</v>
      </c>
      <c r="AC88" s="13">
        <v>0</v>
      </c>
      <c r="AD88" s="13">
        <v>0</v>
      </c>
      <c r="AE88" s="13">
        <v>0</v>
      </c>
      <c r="AF88" s="13">
        <f t="shared" si="12"/>
        <v>0</v>
      </c>
      <c r="AG88" s="13">
        <v>0</v>
      </c>
      <c r="AH88" s="13">
        <v>0</v>
      </c>
      <c r="AI88" s="14"/>
      <c r="AJ88" s="13">
        <f t="shared" si="15"/>
        <v>95459286.819999993</v>
      </c>
      <c r="AK88" s="15">
        <f t="shared" si="13"/>
        <v>8978381.5999999996</v>
      </c>
      <c r="AL88" s="19">
        <v>-1630668.94</v>
      </c>
      <c r="AM88" s="8"/>
      <c r="AN88" s="13">
        <f t="shared" si="14"/>
        <v>102806999.47999999</v>
      </c>
    </row>
    <row r="89" spans="2:40" s="17" customFormat="1" x14ac:dyDescent="0.3">
      <c r="B89" s="18">
        <v>42036</v>
      </c>
      <c r="C89" s="13">
        <v>10435005.91</v>
      </c>
      <c r="D89" s="13">
        <v>0</v>
      </c>
      <c r="E89" s="13">
        <v>3864746.17</v>
      </c>
      <c r="F89" s="13">
        <v>632122.36</v>
      </c>
      <c r="G89" s="13">
        <f t="shared" si="9"/>
        <v>14931874.439999999</v>
      </c>
      <c r="H89" s="13">
        <v>4649527.4000000004</v>
      </c>
      <c r="I89" s="13">
        <v>297319.94</v>
      </c>
      <c r="J89" s="13">
        <v>380549.49</v>
      </c>
      <c r="K89" s="13">
        <f t="shared" si="10"/>
        <v>20259271.27</v>
      </c>
      <c r="L89" s="13">
        <v>0</v>
      </c>
      <c r="M89" s="13">
        <v>0</v>
      </c>
      <c r="N89" s="13">
        <v>56819468.82</v>
      </c>
      <c r="O89" s="13">
        <v>7391427.3300000001</v>
      </c>
      <c r="P89" s="13">
        <v>507434.92</v>
      </c>
      <c r="Q89" s="13">
        <v>1207108.04</v>
      </c>
      <c r="R89" s="13">
        <v>0</v>
      </c>
      <c r="S89" s="13">
        <v>426838.94</v>
      </c>
      <c r="T89" s="13">
        <v>0</v>
      </c>
      <c r="U89" s="13">
        <v>104673.22</v>
      </c>
      <c r="V89" s="13">
        <v>0</v>
      </c>
      <c r="W89" s="13">
        <f t="shared" si="8"/>
        <v>66456951.269999996</v>
      </c>
      <c r="X89" s="13">
        <v>0</v>
      </c>
      <c r="Y89" s="13">
        <v>0</v>
      </c>
      <c r="Z89" s="13">
        <v>323666.87</v>
      </c>
      <c r="AA89" s="13">
        <v>0</v>
      </c>
      <c r="AB89" s="13">
        <f t="shared" si="11"/>
        <v>323666.87</v>
      </c>
      <c r="AC89" s="13">
        <v>6723503.3700000001</v>
      </c>
      <c r="AD89" s="13">
        <v>24447585.170000002</v>
      </c>
      <c r="AE89" s="13">
        <v>0</v>
      </c>
      <c r="AF89" s="13">
        <f t="shared" si="12"/>
        <v>31171088.540000003</v>
      </c>
      <c r="AG89" s="13">
        <v>0</v>
      </c>
      <c r="AH89" s="13">
        <v>0</v>
      </c>
      <c r="AI89" s="14"/>
      <c r="AJ89" s="13">
        <f t="shared" si="15"/>
        <v>20259271.27</v>
      </c>
      <c r="AK89" s="15">
        <f t="shared" si="13"/>
        <v>66780618.139999993</v>
      </c>
      <c r="AL89" s="19">
        <v>1302081.8999999999</v>
      </c>
      <c r="AM89" s="8"/>
      <c r="AN89" s="13">
        <f t="shared" si="14"/>
        <v>119513059.85000001</v>
      </c>
    </row>
    <row r="90" spans="2:40" s="17" customFormat="1" x14ac:dyDescent="0.3">
      <c r="B90" s="20">
        <v>42064</v>
      </c>
      <c r="C90" s="13">
        <v>8513759.4100000001</v>
      </c>
      <c r="D90" s="13">
        <v>0</v>
      </c>
      <c r="E90" s="13">
        <v>6162804.7199999997</v>
      </c>
      <c r="F90" s="13">
        <v>886889.97</v>
      </c>
      <c r="G90" s="13">
        <f t="shared" si="9"/>
        <v>15563454.1</v>
      </c>
      <c r="H90" s="13">
        <v>4749645.58</v>
      </c>
      <c r="I90" s="13">
        <v>1028219.74</v>
      </c>
      <c r="J90" s="13">
        <v>517069.76</v>
      </c>
      <c r="K90" s="13">
        <f t="shared" si="10"/>
        <v>21858389.18</v>
      </c>
      <c r="L90" s="13">
        <v>0</v>
      </c>
      <c r="M90" s="13">
        <v>0</v>
      </c>
      <c r="N90" s="13">
        <v>135615259.97</v>
      </c>
      <c r="O90" s="13">
        <v>15307604.76</v>
      </c>
      <c r="P90" s="13">
        <v>600141.06000000006</v>
      </c>
      <c r="Q90" s="13">
        <v>1063861.53</v>
      </c>
      <c r="R90" s="13">
        <v>1779079.94</v>
      </c>
      <c r="S90" s="13">
        <v>981894.25</v>
      </c>
      <c r="T90" s="13">
        <v>0</v>
      </c>
      <c r="U90" s="13">
        <v>292769.88</v>
      </c>
      <c r="V90" s="13">
        <v>0</v>
      </c>
      <c r="W90" s="13">
        <f t="shared" si="8"/>
        <v>155640611.38999999</v>
      </c>
      <c r="X90" s="13">
        <v>0</v>
      </c>
      <c r="Y90" s="13">
        <v>0</v>
      </c>
      <c r="Z90" s="13">
        <v>1134177.1200000001</v>
      </c>
      <c r="AA90" s="13">
        <v>0</v>
      </c>
      <c r="AB90" s="13">
        <f t="shared" si="11"/>
        <v>1134177.1200000001</v>
      </c>
      <c r="AC90" s="13">
        <v>10273476.35</v>
      </c>
      <c r="AD90" s="13">
        <v>24447585.170000002</v>
      </c>
      <c r="AE90" s="13">
        <v>600000</v>
      </c>
      <c r="AF90" s="13">
        <f t="shared" si="12"/>
        <v>35321061.520000003</v>
      </c>
      <c r="AG90" s="13">
        <v>0</v>
      </c>
      <c r="AH90" s="13">
        <v>0</v>
      </c>
      <c r="AI90" s="14"/>
      <c r="AJ90" s="13">
        <f t="shared" si="15"/>
        <v>21858389.18</v>
      </c>
      <c r="AK90" s="15">
        <f t="shared" si="13"/>
        <v>156774788.50999999</v>
      </c>
      <c r="AL90" s="19">
        <v>3916.32</v>
      </c>
      <c r="AM90" s="8"/>
      <c r="AN90" s="13">
        <f t="shared" si="14"/>
        <v>213958155.53</v>
      </c>
    </row>
    <row r="91" spans="2:40" s="17" customFormat="1" x14ac:dyDescent="0.3">
      <c r="B91" s="21">
        <v>42095</v>
      </c>
      <c r="C91" s="13">
        <v>3076070.52</v>
      </c>
      <c r="D91" s="13">
        <v>27963379</v>
      </c>
      <c r="E91" s="13">
        <v>5005107.29</v>
      </c>
      <c r="F91" s="13">
        <v>858474.84</v>
      </c>
      <c r="G91" s="13">
        <f t="shared" si="9"/>
        <v>36903031.650000006</v>
      </c>
      <c r="H91" s="13">
        <v>2736666.28</v>
      </c>
      <c r="I91" s="13">
        <v>663260.94999999995</v>
      </c>
      <c r="J91" s="13">
        <v>406751.93</v>
      </c>
      <c r="K91" s="13">
        <f t="shared" si="10"/>
        <v>40709710.81000001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f t="shared" si="8"/>
        <v>0</v>
      </c>
      <c r="X91" s="13">
        <v>0</v>
      </c>
      <c r="Y91" s="13">
        <v>0</v>
      </c>
      <c r="Z91" s="13">
        <v>0</v>
      </c>
      <c r="AA91" s="13">
        <v>0</v>
      </c>
      <c r="AB91" s="13">
        <f t="shared" si="11"/>
        <v>0</v>
      </c>
      <c r="AC91" s="13">
        <v>8498489.8599999994</v>
      </c>
      <c r="AD91" s="13">
        <v>24447585.170000002</v>
      </c>
      <c r="AE91" s="13">
        <v>0</v>
      </c>
      <c r="AF91" s="13">
        <f t="shared" si="12"/>
        <v>32946075.030000001</v>
      </c>
      <c r="AG91" s="13">
        <v>0</v>
      </c>
      <c r="AH91" s="13">
        <v>0</v>
      </c>
      <c r="AI91" s="14"/>
      <c r="AJ91" s="13">
        <f t="shared" si="15"/>
        <v>40709710.81000001</v>
      </c>
      <c r="AK91" s="15">
        <f t="shared" si="13"/>
        <v>0</v>
      </c>
      <c r="AL91" s="19">
        <v>-2651.33</v>
      </c>
      <c r="AM91" s="8"/>
      <c r="AN91" s="13">
        <f t="shared" si="14"/>
        <v>73653134.510000005</v>
      </c>
    </row>
    <row r="92" spans="2:40" s="17" customFormat="1" x14ac:dyDescent="0.3">
      <c r="B92" s="22">
        <v>42125</v>
      </c>
      <c r="C92" s="13">
        <v>2473066.12</v>
      </c>
      <c r="D92" s="13">
        <v>97078</v>
      </c>
      <c r="E92" s="13">
        <v>4712180.6399999997</v>
      </c>
      <c r="F92" s="13">
        <v>57125.85</v>
      </c>
      <c r="G92" s="13">
        <f t="shared" si="9"/>
        <v>7339450.6099999994</v>
      </c>
      <c r="H92" s="13">
        <v>4056859.08</v>
      </c>
      <c r="I92" s="13">
        <v>187999.38</v>
      </c>
      <c r="J92" s="13">
        <v>463820.74</v>
      </c>
      <c r="K92" s="13">
        <f t="shared" si="10"/>
        <v>12048129.810000001</v>
      </c>
      <c r="L92" s="13">
        <v>0</v>
      </c>
      <c r="M92" s="13">
        <v>0</v>
      </c>
      <c r="N92" s="13">
        <v>82412377.640000001</v>
      </c>
      <c r="O92" s="13">
        <v>10018065.689999999</v>
      </c>
      <c r="P92" s="13">
        <v>1156280</v>
      </c>
      <c r="Q92" s="13">
        <v>835627.16</v>
      </c>
      <c r="R92" s="13">
        <v>554412</v>
      </c>
      <c r="S92" s="13">
        <v>0</v>
      </c>
      <c r="T92" s="13">
        <v>428938.53</v>
      </c>
      <c r="U92" s="13">
        <v>186084.99</v>
      </c>
      <c r="V92" s="13">
        <v>0</v>
      </c>
      <c r="W92" s="13">
        <f t="shared" si="8"/>
        <v>95591786.00999999</v>
      </c>
      <c r="X92" s="13">
        <v>0</v>
      </c>
      <c r="Y92" s="13">
        <v>0</v>
      </c>
      <c r="Z92" s="13">
        <v>335620.29</v>
      </c>
      <c r="AA92" s="13">
        <v>0</v>
      </c>
      <c r="AB92" s="13">
        <f t="shared" si="11"/>
        <v>335620.29</v>
      </c>
      <c r="AC92" s="13">
        <v>8498489.8599999994</v>
      </c>
      <c r="AD92" s="13">
        <v>24447585.170000002</v>
      </c>
      <c r="AE92" s="13">
        <v>0</v>
      </c>
      <c r="AF92" s="13">
        <f t="shared" si="12"/>
        <v>32946075.030000001</v>
      </c>
      <c r="AG92" s="13">
        <v>0</v>
      </c>
      <c r="AH92" s="13">
        <v>0</v>
      </c>
      <c r="AI92" s="14"/>
      <c r="AJ92" s="13">
        <f t="shared" si="15"/>
        <v>12048129.810000001</v>
      </c>
      <c r="AK92" s="15">
        <f t="shared" si="13"/>
        <v>95927406.299999997</v>
      </c>
      <c r="AL92" s="19">
        <v>-356</v>
      </c>
      <c r="AM92" s="8"/>
      <c r="AN92" s="13">
        <f t="shared" si="14"/>
        <v>140921255.13999999</v>
      </c>
    </row>
    <row r="93" spans="2:40" s="17" customFormat="1" x14ac:dyDescent="0.3">
      <c r="B93" s="23">
        <v>42156</v>
      </c>
      <c r="C93" s="13">
        <v>3024323.28</v>
      </c>
      <c r="D93" s="13">
        <v>0</v>
      </c>
      <c r="E93" s="13">
        <v>5812491.5700000003</v>
      </c>
      <c r="F93" s="13">
        <v>292660.13</v>
      </c>
      <c r="G93" s="13">
        <f t="shared" si="9"/>
        <v>9129474.9800000004</v>
      </c>
      <c r="H93" s="13">
        <v>3502000.15</v>
      </c>
      <c r="I93" s="13">
        <v>1150682.6099999999</v>
      </c>
      <c r="J93" s="13">
        <v>228066.37</v>
      </c>
      <c r="K93" s="13">
        <f t="shared" si="10"/>
        <v>14010224.109999999</v>
      </c>
      <c r="L93" s="13">
        <v>0</v>
      </c>
      <c r="M93" s="13">
        <v>0</v>
      </c>
      <c r="N93" s="13">
        <v>67370461.920000002</v>
      </c>
      <c r="O93" s="13">
        <v>7358011.4699999997</v>
      </c>
      <c r="P93" s="13">
        <v>-349534.6</v>
      </c>
      <c r="Q93" s="13">
        <v>1864160.22</v>
      </c>
      <c r="R93" s="13">
        <v>573941.27</v>
      </c>
      <c r="S93" s="13">
        <v>939689.39</v>
      </c>
      <c r="T93" s="13">
        <v>-428938.53</v>
      </c>
      <c r="U93" s="13">
        <v>172860.09</v>
      </c>
      <c r="V93" s="13">
        <v>0</v>
      </c>
      <c r="W93" s="13">
        <f t="shared" si="8"/>
        <v>77500651.230000004</v>
      </c>
      <c r="X93" s="13">
        <v>0</v>
      </c>
      <c r="Y93" s="13">
        <v>0</v>
      </c>
      <c r="Z93" s="13">
        <v>553711.61</v>
      </c>
      <c r="AA93" s="13">
        <v>0</v>
      </c>
      <c r="AB93" s="13">
        <f t="shared" si="11"/>
        <v>553711.61</v>
      </c>
      <c r="AC93" s="13">
        <v>6723503.3700000001</v>
      </c>
      <c r="AD93" s="13">
        <v>24447585.170000002</v>
      </c>
      <c r="AE93" s="13">
        <v>107655879.73999999</v>
      </c>
      <c r="AF93" s="13">
        <f t="shared" si="12"/>
        <v>138826968.28</v>
      </c>
      <c r="AG93" s="13">
        <v>0</v>
      </c>
      <c r="AH93" s="13">
        <v>0</v>
      </c>
      <c r="AI93" s="14"/>
      <c r="AJ93" s="13">
        <f t="shared" si="15"/>
        <v>14010224.109999999</v>
      </c>
      <c r="AK93" s="15">
        <f t="shared" si="13"/>
        <v>78054362.840000004</v>
      </c>
      <c r="AL93" s="19">
        <v>-18133.86</v>
      </c>
      <c r="AM93" s="8"/>
      <c r="AN93" s="13">
        <f t="shared" si="14"/>
        <v>230873421.37</v>
      </c>
    </row>
    <row r="94" spans="2:40" s="17" customFormat="1" x14ac:dyDescent="0.3">
      <c r="B94" s="24">
        <v>42186</v>
      </c>
      <c r="C94" s="13">
        <v>2163282.9</v>
      </c>
      <c r="D94" s="13">
        <v>0</v>
      </c>
      <c r="E94" s="13">
        <v>6773292.3300000001</v>
      </c>
      <c r="F94" s="13">
        <v>416693.63999999996</v>
      </c>
      <c r="G94" s="13">
        <f t="shared" si="9"/>
        <v>9353268.870000001</v>
      </c>
      <c r="H94" s="13">
        <v>3749214.68</v>
      </c>
      <c r="I94" s="13">
        <v>806307.16</v>
      </c>
      <c r="J94" s="13">
        <v>3508650.16</v>
      </c>
      <c r="K94" s="13">
        <f t="shared" si="10"/>
        <v>17417440.870000001</v>
      </c>
      <c r="L94" s="13">
        <v>0</v>
      </c>
      <c r="M94" s="13">
        <v>0</v>
      </c>
      <c r="N94" s="13">
        <v>52992411.060000002</v>
      </c>
      <c r="O94" s="13">
        <v>4597772.8099999996</v>
      </c>
      <c r="P94" s="13">
        <v>277601.78000000003</v>
      </c>
      <c r="Q94" s="13">
        <v>932865.26</v>
      </c>
      <c r="R94" s="13">
        <v>661402.38</v>
      </c>
      <c r="S94" s="13">
        <v>491574.41</v>
      </c>
      <c r="T94" s="13">
        <v>0</v>
      </c>
      <c r="U94" s="13">
        <v>271690.55</v>
      </c>
      <c r="V94" s="13">
        <v>0</v>
      </c>
      <c r="W94" s="13">
        <f t="shared" si="8"/>
        <v>60225318.25</v>
      </c>
      <c r="X94" s="13">
        <v>0</v>
      </c>
      <c r="Y94" s="13">
        <v>0</v>
      </c>
      <c r="Z94" s="13">
        <v>387929.25</v>
      </c>
      <c r="AA94" s="13">
        <v>0</v>
      </c>
      <c r="AB94" s="13">
        <f t="shared" si="11"/>
        <v>387929.25</v>
      </c>
      <c r="AC94" s="13">
        <v>6723503.3700000001</v>
      </c>
      <c r="AD94" s="13">
        <v>24447585.170000002</v>
      </c>
      <c r="AE94" s="13">
        <v>0</v>
      </c>
      <c r="AF94" s="13">
        <f t="shared" si="12"/>
        <v>31171088.540000003</v>
      </c>
      <c r="AG94" s="13">
        <v>0</v>
      </c>
      <c r="AH94" s="13">
        <v>0</v>
      </c>
      <c r="AI94" s="14"/>
      <c r="AJ94" s="13">
        <f t="shared" si="15"/>
        <v>17417440.870000001</v>
      </c>
      <c r="AK94" s="15">
        <f t="shared" si="13"/>
        <v>60613247.5</v>
      </c>
      <c r="AL94" s="19">
        <v>-2.99</v>
      </c>
      <c r="AM94" s="8"/>
      <c r="AN94" s="13">
        <f t="shared" si="14"/>
        <v>109201773.92000002</v>
      </c>
    </row>
    <row r="95" spans="2:40" s="17" customFormat="1" x14ac:dyDescent="0.3">
      <c r="B95" s="25">
        <v>42217</v>
      </c>
      <c r="C95" s="13">
        <v>2031907.46</v>
      </c>
      <c r="D95" s="13">
        <v>0</v>
      </c>
      <c r="E95" s="13">
        <v>5604208.4699999997</v>
      </c>
      <c r="F95" s="13">
        <v>142339.51</v>
      </c>
      <c r="G95" s="13">
        <f t="shared" si="9"/>
        <v>7778455.4399999995</v>
      </c>
      <c r="H95" s="13">
        <v>3232305.88</v>
      </c>
      <c r="I95" s="13">
        <v>1314452.23</v>
      </c>
      <c r="J95" s="13">
        <v>420551.08</v>
      </c>
      <c r="K95" s="13">
        <f t="shared" si="10"/>
        <v>12745764.630000001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f t="shared" si="8"/>
        <v>0</v>
      </c>
      <c r="X95" s="13">
        <v>0</v>
      </c>
      <c r="Y95" s="13">
        <v>0</v>
      </c>
      <c r="Z95" s="13">
        <v>0</v>
      </c>
      <c r="AA95" s="13">
        <v>0</v>
      </c>
      <c r="AB95" s="13">
        <f t="shared" si="11"/>
        <v>0</v>
      </c>
      <c r="AC95" s="13">
        <v>6723503.3700000001</v>
      </c>
      <c r="AD95" s="13">
        <v>24447585.170000002</v>
      </c>
      <c r="AE95" s="13">
        <v>99944893.340000004</v>
      </c>
      <c r="AF95" s="13">
        <f t="shared" si="12"/>
        <v>131115981.88000001</v>
      </c>
      <c r="AG95" s="13">
        <v>0</v>
      </c>
      <c r="AH95" s="13">
        <f>1085431.97</f>
        <v>1085431.97</v>
      </c>
      <c r="AI95" s="14"/>
      <c r="AJ95" s="13">
        <f t="shared" si="15"/>
        <v>12745764.630000001</v>
      </c>
      <c r="AK95" s="15">
        <f t="shared" si="13"/>
        <v>0</v>
      </c>
      <c r="AL95" s="19">
        <v>-27395.88</v>
      </c>
      <c r="AM95" s="8"/>
      <c r="AN95" s="13">
        <f t="shared" si="14"/>
        <v>144919782.60000002</v>
      </c>
    </row>
    <row r="96" spans="2:40" s="17" customFormat="1" x14ac:dyDescent="0.3">
      <c r="B96" s="26">
        <v>42248</v>
      </c>
      <c r="C96" s="13">
        <v>2578309.2999999998</v>
      </c>
      <c r="D96" s="13">
        <v>0</v>
      </c>
      <c r="E96" s="13">
        <v>6267320.9199999999</v>
      </c>
      <c r="F96" s="13">
        <v>56899.77</v>
      </c>
      <c r="G96" s="13">
        <f t="shared" si="9"/>
        <v>8902529.9899999984</v>
      </c>
      <c r="H96" s="13">
        <v>7534040.0899999999</v>
      </c>
      <c r="I96" s="13">
        <v>1716032.02</v>
      </c>
      <c r="J96" s="13">
        <v>30500483.07</v>
      </c>
      <c r="K96" s="13">
        <f t="shared" si="10"/>
        <v>48653085.170000002</v>
      </c>
      <c r="L96" s="13">
        <v>0</v>
      </c>
      <c r="M96" s="13">
        <v>0</v>
      </c>
      <c r="N96" s="13">
        <v>134931107.12</v>
      </c>
      <c r="O96" s="13">
        <v>13601964.619999999</v>
      </c>
      <c r="P96" s="13">
        <v>431287.25</v>
      </c>
      <c r="Q96" s="13">
        <v>1873507.75</v>
      </c>
      <c r="R96" s="13">
        <v>2248531.0299999998</v>
      </c>
      <c r="S96" s="13">
        <v>959294.62</v>
      </c>
      <c r="T96" s="13">
        <v>0</v>
      </c>
      <c r="U96" s="13">
        <v>197683.67</v>
      </c>
      <c r="V96" s="13">
        <v>0</v>
      </c>
      <c r="W96" s="13">
        <f t="shared" si="8"/>
        <v>154243376.06</v>
      </c>
      <c r="X96" s="13">
        <v>16385.830000000002</v>
      </c>
      <c r="Y96" s="13">
        <v>0</v>
      </c>
      <c r="Z96" s="13">
        <v>879579.54</v>
      </c>
      <c r="AA96" s="13">
        <v>0</v>
      </c>
      <c r="AB96" s="13">
        <f t="shared" si="11"/>
        <v>895965.37</v>
      </c>
      <c r="AC96" s="13">
        <v>13823449.33</v>
      </c>
      <c r="AD96" s="13">
        <v>48895170.340000004</v>
      </c>
      <c r="AE96" s="13">
        <v>68753397.900000006</v>
      </c>
      <c r="AF96" s="13">
        <f t="shared" si="12"/>
        <v>131472017.57000001</v>
      </c>
      <c r="AG96" s="13">
        <v>0</v>
      </c>
      <c r="AH96" s="13">
        <f>185284.59</f>
        <v>185284.59</v>
      </c>
      <c r="AI96" s="14"/>
      <c r="AJ96" s="13">
        <f t="shared" si="15"/>
        <v>48653085.170000002</v>
      </c>
      <c r="AK96" s="15">
        <f t="shared" si="13"/>
        <v>155139341.43000001</v>
      </c>
      <c r="AL96" s="19">
        <v>0</v>
      </c>
      <c r="AM96" s="8"/>
      <c r="AN96" s="13">
        <f t="shared" si="14"/>
        <v>335449728.75999999</v>
      </c>
    </row>
    <row r="97" spans="2:40" s="17" customFormat="1" x14ac:dyDescent="0.3">
      <c r="B97" s="27">
        <v>42278</v>
      </c>
      <c r="C97" s="13">
        <v>1869344.88</v>
      </c>
      <c r="D97" s="13">
        <v>0</v>
      </c>
      <c r="E97" s="13">
        <v>4829137.17</v>
      </c>
      <c r="F97" s="13">
        <v>233272.31</v>
      </c>
      <c r="G97" s="13">
        <f t="shared" si="9"/>
        <v>6931754.3599999994</v>
      </c>
      <c r="H97" s="13">
        <v>2934758.25</v>
      </c>
      <c r="I97" s="13">
        <v>283881.77</v>
      </c>
      <c r="J97" s="13">
        <v>1171576.81</v>
      </c>
      <c r="K97" s="13">
        <f t="shared" si="10"/>
        <v>11321971.189999999</v>
      </c>
      <c r="L97" s="13">
        <v>0</v>
      </c>
      <c r="M97" s="13">
        <v>0</v>
      </c>
      <c r="N97" s="13">
        <v>65506702.299999997</v>
      </c>
      <c r="O97" s="13">
        <v>6599052.3399999999</v>
      </c>
      <c r="P97" s="13">
        <v>258668.94</v>
      </c>
      <c r="Q97" s="13">
        <v>989022.9</v>
      </c>
      <c r="R97" s="13">
        <v>957394.04</v>
      </c>
      <c r="S97" s="13">
        <v>486204.95</v>
      </c>
      <c r="T97" s="13">
        <v>0</v>
      </c>
      <c r="U97" s="13">
        <v>263382.5</v>
      </c>
      <c r="V97" s="13">
        <v>0</v>
      </c>
      <c r="W97" s="13">
        <f t="shared" si="8"/>
        <v>75060427.970000014</v>
      </c>
      <c r="X97" s="13">
        <v>0</v>
      </c>
      <c r="Y97" s="13">
        <v>0</v>
      </c>
      <c r="Z97" s="13">
        <v>421511.39</v>
      </c>
      <c r="AA97" s="13">
        <v>0</v>
      </c>
      <c r="AB97" s="13">
        <f t="shared" si="11"/>
        <v>421511.39</v>
      </c>
      <c r="AC97" s="13">
        <v>8498489.8599999994</v>
      </c>
      <c r="AD97" s="13">
        <v>0</v>
      </c>
      <c r="AE97" s="13">
        <v>22216836.27</v>
      </c>
      <c r="AF97" s="13">
        <f t="shared" si="12"/>
        <v>30715326.129999999</v>
      </c>
      <c r="AG97" s="13">
        <v>0</v>
      </c>
      <c r="AH97" s="13">
        <v>0</v>
      </c>
      <c r="AI97" s="14"/>
      <c r="AJ97" s="13">
        <f t="shared" si="15"/>
        <v>11321971.189999999</v>
      </c>
      <c r="AK97" s="15">
        <f t="shared" si="13"/>
        <v>75481939.360000014</v>
      </c>
      <c r="AL97" s="19">
        <v>-32640.35</v>
      </c>
      <c r="AM97" s="8"/>
      <c r="AN97" s="13">
        <f t="shared" si="14"/>
        <v>117486596.33000001</v>
      </c>
    </row>
    <row r="98" spans="2:40" s="17" customFormat="1" x14ac:dyDescent="0.3">
      <c r="B98" s="28">
        <v>42309</v>
      </c>
      <c r="C98" s="13">
        <v>2270200.88</v>
      </c>
      <c r="D98" s="13">
        <v>0</v>
      </c>
      <c r="E98" s="13">
        <v>5919196.9100000001</v>
      </c>
      <c r="F98" s="13">
        <v>188945.59</v>
      </c>
      <c r="G98" s="13">
        <f t="shared" si="9"/>
        <v>8378343.3799999999</v>
      </c>
      <c r="H98" s="13">
        <v>7804097.8399999999</v>
      </c>
      <c r="I98" s="13">
        <v>666524.56999999995</v>
      </c>
      <c r="J98" s="13">
        <v>1314201.97</v>
      </c>
      <c r="K98" s="13">
        <f t="shared" si="10"/>
        <v>18163167.759999998</v>
      </c>
      <c r="L98" s="13">
        <v>0</v>
      </c>
      <c r="M98" s="13">
        <v>0</v>
      </c>
      <c r="N98" s="13">
        <v>71317986.439999998</v>
      </c>
      <c r="O98" s="13">
        <v>5534236.1100000003</v>
      </c>
      <c r="P98" s="13">
        <v>308775.09000000003</v>
      </c>
      <c r="Q98" s="13">
        <v>927622.43</v>
      </c>
      <c r="R98" s="13">
        <v>0</v>
      </c>
      <c r="S98" s="13">
        <v>464183.07</v>
      </c>
      <c r="T98" s="13">
        <v>0</v>
      </c>
      <c r="U98" s="13">
        <v>77264.100000000006</v>
      </c>
      <c r="V98" s="13">
        <v>0</v>
      </c>
      <c r="W98" s="13">
        <f t="shared" si="8"/>
        <v>78630067.239999995</v>
      </c>
      <c r="X98" s="13">
        <v>0</v>
      </c>
      <c r="Y98" s="13">
        <v>0</v>
      </c>
      <c r="Z98" s="13">
        <v>408286.21</v>
      </c>
      <c r="AA98" s="13">
        <v>0</v>
      </c>
      <c r="AB98" s="13">
        <f t="shared" si="11"/>
        <v>408286.21</v>
      </c>
      <c r="AC98" s="13">
        <v>8498489.8599999994</v>
      </c>
      <c r="AD98" s="13">
        <v>24447585.170000002</v>
      </c>
      <c r="AE98" s="13">
        <v>13321859.16</v>
      </c>
      <c r="AF98" s="13">
        <f t="shared" si="12"/>
        <v>46267934.189999998</v>
      </c>
      <c r="AG98" s="13">
        <v>0</v>
      </c>
      <c r="AH98" s="13">
        <v>1000000</v>
      </c>
      <c r="AI98" s="14"/>
      <c r="AJ98" s="13">
        <f t="shared" si="15"/>
        <v>18163167.759999998</v>
      </c>
      <c r="AK98" s="15">
        <f t="shared" si="13"/>
        <v>79038353.449999988</v>
      </c>
      <c r="AL98" s="19">
        <v>-1.1100000000000001</v>
      </c>
      <c r="AM98" s="8"/>
      <c r="AN98" s="13">
        <f t="shared" si="14"/>
        <v>144469454.28999996</v>
      </c>
    </row>
    <row r="99" spans="2:40" s="17" customFormat="1" x14ac:dyDescent="0.3">
      <c r="B99" s="29">
        <v>42339</v>
      </c>
      <c r="C99" s="13">
        <v>5526448.5199999996</v>
      </c>
      <c r="D99" s="13">
        <v>0</v>
      </c>
      <c r="E99" s="13">
        <v>6820604.4100000001</v>
      </c>
      <c r="F99" s="13">
        <v>147712.29</v>
      </c>
      <c r="G99" s="13">
        <f t="shared" si="9"/>
        <v>12494765.219999999</v>
      </c>
      <c r="H99" s="13">
        <v>5426844.4400000004</v>
      </c>
      <c r="I99" s="13">
        <v>1063585.99</v>
      </c>
      <c r="J99" s="13">
        <v>1147323.8700000001</v>
      </c>
      <c r="K99" s="13">
        <f t="shared" si="10"/>
        <v>20132519.52</v>
      </c>
      <c r="L99" s="13">
        <v>0</v>
      </c>
      <c r="M99" s="13">
        <v>0</v>
      </c>
      <c r="N99" s="13">
        <v>75379074.640000001</v>
      </c>
      <c r="O99" s="13">
        <v>0</v>
      </c>
      <c r="P99" s="13">
        <v>258668.94</v>
      </c>
      <c r="Q99" s="13">
        <v>925048.99</v>
      </c>
      <c r="R99" s="13">
        <v>0</v>
      </c>
      <c r="S99" s="13">
        <v>0</v>
      </c>
      <c r="T99" s="13">
        <v>0</v>
      </c>
      <c r="U99" s="13">
        <v>80716.95</v>
      </c>
      <c r="V99" s="13">
        <v>0</v>
      </c>
      <c r="W99" s="13">
        <f t="shared" si="8"/>
        <v>76643509.519999996</v>
      </c>
      <c r="X99" s="13">
        <v>0</v>
      </c>
      <c r="Y99" s="13">
        <v>0</v>
      </c>
      <c r="Z99" s="13">
        <v>482520.93</v>
      </c>
      <c r="AA99" s="13">
        <v>0</v>
      </c>
      <c r="AB99" s="13">
        <f t="shared" si="11"/>
        <v>482520.93</v>
      </c>
      <c r="AC99" s="13">
        <v>0</v>
      </c>
      <c r="AD99" s="13">
        <v>48895169.82</v>
      </c>
      <c r="AE99" s="13">
        <v>10636926.16</v>
      </c>
      <c r="AF99" s="13">
        <f t="shared" si="12"/>
        <v>59532095.980000004</v>
      </c>
      <c r="AG99" s="13">
        <v>0</v>
      </c>
      <c r="AH99" s="13">
        <v>2208629</v>
      </c>
      <c r="AI99" s="14"/>
      <c r="AJ99" s="13">
        <f t="shared" si="15"/>
        <v>20132519.52</v>
      </c>
      <c r="AK99" s="15">
        <f t="shared" si="13"/>
        <v>77126030.450000003</v>
      </c>
      <c r="AL99" s="19">
        <v>-2559.96</v>
      </c>
      <c r="AM99" s="8"/>
      <c r="AN99" s="13">
        <f t="shared" si="14"/>
        <v>158996714.98999998</v>
      </c>
    </row>
    <row r="100" spans="2:40" s="17" customFormat="1" x14ac:dyDescent="0.3">
      <c r="B100" s="12">
        <v>42370</v>
      </c>
      <c r="C100" s="13">
        <v>84788898.340000004</v>
      </c>
      <c r="D100" s="13">
        <v>0</v>
      </c>
      <c r="E100" s="13">
        <v>4634721.12</v>
      </c>
      <c r="F100" s="13">
        <v>1153675.6500000001</v>
      </c>
      <c r="G100" s="13">
        <f t="shared" si="9"/>
        <v>90577295.110000014</v>
      </c>
      <c r="H100" s="13">
        <v>5135394.74</v>
      </c>
      <c r="I100" s="13">
        <v>846003.42999999993</v>
      </c>
      <c r="J100" s="13">
        <v>1254571.3500000001</v>
      </c>
      <c r="K100" s="13">
        <f t="shared" si="10"/>
        <v>97813264.63000001</v>
      </c>
      <c r="L100" s="13">
        <v>0</v>
      </c>
      <c r="M100" s="13">
        <v>0</v>
      </c>
      <c r="N100" s="13">
        <v>25657071.170000002</v>
      </c>
      <c r="O100" s="13">
        <v>11963064.210000001</v>
      </c>
      <c r="P100" s="13">
        <v>258668.94</v>
      </c>
      <c r="Q100" s="13">
        <v>988435.56</v>
      </c>
      <c r="R100" s="13">
        <v>2955994.37</v>
      </c>
      <c r="S100" s="13">
        <v>898364.43</v>
      </c>
      <c r="T100" s="13">
        <v>0</v>
      </c>
      <c r="U100" s="13">
        <v>85226.54</v>
      </c>
      <c r="V100" s="13">
        <v>0</v>
      </c>
      <c r="W100" s="13">
        <f t="shared" ref="W100:W131" si="16">SUM(M100:V100)</f>
        <v>42806825.219999999</v>
      </c>
      <c r="X100" s="13">
        <v>9976.6</v>
      </c>
      <c r="Y100" s="13">
        <v>0</v>
      </c>
      <c r="Z100" s="13">
        <v>468874.8</v>
      </c>
      <c r="AA100" s="13">
        <v>0</v>
      </c>
      <c r="AB100" s="13">
        <f t="shared" si="11"/>
        <v>478851.39999999997</v>
      </c>
      <c r="AC100" s="13">
        <v>0</v>
      </c>
      <c r="AD100" s="13">
        <v>0</v>
      </c>
      <c r="AE100" s="13">
        <v>0</v>
      </c>
      <c r="AF100" s="13">
        <f t="shared" si="12"/>
        <v>0</v>
      </c>
      <c r="AG100" s="13">
        <v>0</v>
      </c>
      <c r="AH100" s="13">
        <v>0</v>
      </c>
      <c r="AI100" s="14"/>
      <c r="AJ100" s="13">
        <f t="shared" si="15"/>
        <v>97813264.63000001</v>
      </c>
      <c r="AK100" s="15">
        <f t="shared" si="13"/>
        <v>43285676.619999997</v>
      </c>
      <c r="AL100" s="19">
        <v>-19992.02</v>
      </c>
      <c r="AM100" s="8"/>
      <c r="AN100" s="13">
        <f t="shared" si="14"/>
        <v>141078949.22999999</v>
      </c>
    </row>
    <row r="101" spans="2:40" s="17" customFormat="1" x14ac:dyDescent="0.3">
      <c r="B101" s="18">
        <v>42401</v>
      </c>
      <c r="C101" s="13">
        <v>11708424.24</v>
      </c>
      <c r="D101" s="13">
        <v>0</v>
      </c>
      <c r="E101" s="13">
        <v>4117623.31</v>
      </c>
      <c r="F101" s="13">
        <v>968097.54</v>
      </c>
      <c r="G101" s="13">
        <f t="shared" si="9"/>
        <v>16794145.09</v>
      </c>
      <c r="H101" s="13">
        <v>4753661.29</v>
      </c>
      <c r="I101" s="13">
        <v>529772.54</v>
      </c>
      <c r="J101" s="13">
        <v>2712644.44</v>
      </c>
      <c r="K101" s="13">
        <f t="shared" si="10"/>
        <v>24790223.359999999</v>
      </c>
      <c r="L101" s="13">
        <v>0</v>
      </c>
      <c r="M101" s="13">
        <v>0</v>
      </c>
      <c r="N101" s="13">
        <v>86599552.680000007</v>
      </c>
      <c r="O101" s="13">
        <v>5683476.6399999997</v>
      </c>
      <c r="P101" s="13">
        <v>517334.3</v>
      </c>
      <c r="Q101" s="13">
        <v>1878968.48</v>
      </c>
      <c r="R101" s="13">
        <v>680971.54</v>
      </c>
      <c r="S101" s="13">
        <v>958070.28</v>
      </c>
      <c r="T101" s="13">
        <v>0</v>
      </c>
      <c r="U101" s="13">
        <v>0</v>
      </c>
      <c r="V101" s="13">
        <v>0</v>
      </c>
      <c r="W101" s="13">
        <f t="shared" si="16"/>
        <v>96318373.920000017</v>
      </c>
      <c r="X101" s="13">
        <v>0</v>
      </c>
      <c r="Y101" s="13">
        <v>0</v>
      </c>
      <c r="Z101" s="13">
        <v>0</v>
      </c>
      <c r="AA101" s="13">
        <v>0</v>
      </c>
      <c r="AB101" s="13">
        <f t="shared" si="11"/>
        <v>0</v>
      </c>
      <c r="AC101" s="13">
        <v>9245978.2300000004</v>
      </c>
      <c r="AD101" s="13">
        <v>25689979.899999999</v>
      </c>
      <c r="AE101" s="13">
        <v>0</v>
      </c>
      <c r="AF101" s="13">
        <f t="shared" si="12"/>
        <v>34935958.129999995</v>
      </c>
      <c r="AG101" s="13">
        <v>0</v>
      </c>
      <c r="AH101" s="13">
        <v>0</v>
      </c>
      <c r="AI101" s="14"/>
      <c r="AJ101" s="13">
        <f t="shared" si="15"/>
        <v>24790223.359999999</v>
      </c>
      <c r="AK101" s="15">
        <f t="shared" si="13"/>
        <v>96318373.920000017</v>
      </c>
      <c r="AL101" s="19">
        <v>-49489.7</v>
      </c>
      <c r="AM101" s="8"/>
      <c r="AN101" s="13">
        <f t="shared" si="14"/>
        <v>155995065.71000004</v>
      </c>
    </row>
    <row r="102" spans="2:40" s="17" customFormat="1" x14ac:dyDescent="0.3">
      <c r="B102" s="20">
        <v>42430</v>
      </c>
      <c r="C102" s="13">
        <v>8605445.2400000002</v>
      </c>
      <c r="D102" s="13">
        <v>27417377</v>
      </c>
      <c r="E102" s="13">
        <v>4562312.71</v>
      </c>
      <c r="F102" s="13">
        <v>795248.66999999993</v>
      </c>
      <c r="G102" s="13">
        <f t="shared" si="9"/>
        <v>41380383.620000005</v>
      </c>
      <c r="H102" s="13">
        <v>6490306.6900000004</v>
      </c>
      <c r="I102" s="13">
        <v>1563496.5</v>
      </c>
      <c r="J102" s="13">
        <v>1906302.549999997</v>
      </c>
      <c r="K102" s="13">
        <f t="shared" si="10"/>
        <v>51340489.359999999</v>
      </c>
      <c r="L102" s="13">
        <v>34019517</v>
      </c>
      <c r="M102" s="13">
        <v>0</v>
      </c>
      <c r="N102" s="13">
        <v>67430666.450000003</v>
      </c>
      <c r="O102" s="13">
        <v>8587218.4100000001</v>
      </c>
      <c r="P102" s="13">
        <v>261751.81</v>
      </c>
      <c r="Q102" s="13">
        <v>869165.53</v>
      </c>
      <c r="R102" s="13">
        <v>778534.29</v>
      </c>
      <c r="S102" s="13">
        <v>451972.03</v>
      </c>
      <c r="T102" s="13">
        <v>0</v>
      </c>
      <c r="U102" s="13">
        <v>0</v>
      </c>
      <c r="V102" s="13">
        <v>0</v>
      </c>
      <c r="W102" s="13">
        <f t="shared" si="16"/>
        <v>78379308.520000011</v>
      </c>
      <c r="X102" s="13">
        <v>914.91</v>
      </c>
      <c r="Y102" s="13">
        <v>332354.09000000003</v>
      </c>
      <c r="Z102" s="13">
        <v>1040682.24</v>
      </c>
      <c r="AA102" s="13">
        <v>0</v>
      </c>
      <c r="AB102" s="13">
        <f t="shared" si="11"/>
        <v>1373951.24</v>
      </c>
      <c r="AC102" s="13">
        <v>9245978.2300000004</v>
      </c>
      <c r="AD102" s="13">
        <v>25689979.899999999</v>
      </c>
      <c r="AE102" s="13">
        <v>0</v>
      </c>
      <c r="AF102" s="13">
        <f t="shared" si="12"/>
        <v>34935958.129999995</v>
      </c>
      <c r="AG102" s="13">
        <v>0</v>
      </c>
      <c r="AH102" s="13">
        <v>0</v>
      </c>
      <c r="AI102" s="14"/>
      <c r="AJ102" s="13">
        <f t="shared" si="15"/>
        <v>85360006.359999999</v>
      </c>
      <c r="AK102" s="15">
        <f t="shared" si="13"/>
        <v>79753259.760000005</v>
      </c>
      <c r="AL102" s="19">
        <v>-347449</v>
      </c>
      <c r="AM102" s="8"/>
      <c r="AN102" s="13">
        <f t="shared" si="14"/>
        <v>199701775.25</v>
      </c>
    </row>
    <row r="103" spans="2:40" s="17" customFormat="1" x14ac:dyDescent="0.3">
      <c r="B103" s="21">
        <v>42461</v>
      </c>
      <c r="C103" s="13">
        <v>2737864.72</v>
      </c>
      <c r="D103" s="13">
        <v>0</v>
      </c>
      <c r="E103" s="13">
        <v>6016426.2800000003</v>
      </c>
      <c r="F103" s="13">
        <v>415012.55</v>
      </c>
      <c r="G103" s="13">
        <f t="shared" si="9"/>
        <v>9169303.5500000007</v>
      </c>
      <c r="H103" s="13">
        <v>2510867.36</v>
      </c>
      <c r="I103" s="13">
        <v>1020472.03</v>
      </c>
      <c r="J103" s="13">
        <v>1468115.92</v>
      </c>
      <c r="K103" s="13">
        <f t="shared" si="10"/>
        <v>14168758.859999999</v>
      </c>
      <c r="L103" s="13">
        <v>0</v>
      </c>
      <c r="M103" s="13">
        <v>0</v>
      </c>
      <c r="N103" s="13">
        <v>84371816.5</v>
      </c>
      <c r="O103" s="13">
        <v>6170036.8300000001</v>
      </c>
      <c r="P103" s="13">
        <v>480864.97</v>
      </c>
      <c r="Q103" s="13">
        <v>920246.08</v>
      </c>
      <c r="R103" s="13">
        <v>689446.59</v>
      </c>
      <c r="S103" s="13">
        <v>469695.16</v>
      </c>
      <c r="T103" s="13">
        <v>0</v>
      </c>
      <c r="U103" s="13">
        <v>0</v>
      </c>
      <c r="V103" s="13">
        <v>0</v>
      </c>
      <c r="W103" s="13">
        <f t="shared" si="16"/>
        <v>93102106.129999995</v>
      </c>
      <c r="X103" s="13">
        <v>0</v>
      </c>
      <c r="Y103" s="13">
        <v>110633.55</v>
      </c>
      <c r="Z103" s="13">
        <v>385063.12</v>
      </c>
      <c r="AA103" s="13">
        <v>0</v>
      </c>
      <c r="AB103" s="13">
        <f t="shared" si="11"/>
        <v>495696.67</v>
      </c>
      <c r="AC103" s="13">
        <v>9245978.2300000004</v>
      </c>
      <c r="AD103" s="13">
        <v>25689979.899999999</v>
      </c>
      <c r="AE103" s="13">
        <v>8368000</v>
      </c>
      <c r="AF103" s="13">
        <f t="shared" si="12"/>
        <v>43303958.129999995</v>
      </c>
      <c r="AG103" s="13">
        <v>0</v>
      </c>
      <c r="AH103" s="13">
        <v>0</v>
      </c>
      <c r="AI103" s="14"/>
      <c r="AJ103" s="13">
        <f t="shared" si="15"/>
        <v>14168758.859999999</v>
      </c>
      <c r="AK103" s="15">
        <f t="shared" si="13"/>
        <v>93597802.799999997</v>
      </c>
      <c r="AL103" s="19">
        <v>-48388.08</v>
      </c>
      <c r="AM103" s="8"/>
      <c r="AN103" s="13">
        <f t="shared" si="14"/>
        <v>151022131.70999998</v>
      </c>
    </row>
    <row r="104" spans="2:40" s="17" customFormat="1" x14ac:dyDescent="0.3">
      <c r="B104" s="22">
        <v>42491</v>
      </c>
      <c r="C104" s="13">
        <v>2713522.97</v>
      </c>
      <c r="D104" s="13">
        <v>0</v>
      </c>
      <c r="E104" s="13">
        <v>6481958.0700000003</v>
      </c>
      <c r="F104" s="13">
        <v>233722.65000000002</v>
      </c>
      <c r="G104" s="13">
        <f t="shared" si="9"/>
        <v>9429203.6900000013</v>
      </c>
      <c r="H104" s="13">
        <v>4152173.25</v>
      </c>
      <c r="I104" s="13">
        <v>3149493.58</v>
      </c>
      <c r="J104" s="13">
        <v>1045373.06</v>
      </c>
      <c r="K104" s="13">
        <f t="shared" si="10"/>
        <v>17776243.580000002</v>
      </c>
      <c r="L104" s="13">
        <v>0</v>
      </c>
      <c r="M104" s="13">
        <v>0</v>
      </c>
      <c r="N104" s="13">
        <v>112397507.70999999</v>
      </c>
      <c r="O104" s="13">
        <v>13471391.77</v>
      </c>
      <c r="P104" s="13">
        <v>230471.98</v>
      </c>
      <c r="Q104" s="13">
        <v>997831.83</v>
      </c>
      <c r="R104" s="13">
        <v>758109.23</v>
      </c>
      <c r="S104" s="13">
        <v>515336.13</v>
      </c>
      <c r="T104" s="13">
        <v>0</v>
      </c>
      <c r="U104" s="13">
        <v>0</v>
      </c>
      <c r="V104" s="13">
        <v>20994581.079999998</v>
      </c>
      <c r="W104" s="13">
        <f t="shared" si="16"/>
        <v>149365229.72999999</v>
      </c>
      <c r="X104" s="13">
        <v>2159.12</v>
      </c>
      <c r="Y104" s="13">
        <v>110633.55</v>
      </c>
      <c r="Z104" s="13">
        <v>760903.57000000007</v>
      </c>
      <c r="AA104" s="13">
        <v>0</v>
      </c>
      <c r="AB104" s="13">
        <f t="shared" si="11"/>
        <v>873696.24000000011</v>
      </c>
      <c r="AC104" s="13">
        <v>9245978.2300000004</v>
      </c>
      <c r="AD104" s="13">
        <v>25689979.899999999</v>
      </c>
      <c r="AE104" s="13">
        <v>15324651.5</v>
      </c>
      <c r="AF104" s="13">
        <f t="shared" si="12"/>
        <v>50260609.629999995</v>
      </c>
      <c r="AG104" s="13">
        <v>0</v>
      </c>
      <c r="AH104" s="13">
        <v>0</v>
      </c>
      <c r="AI104" s="14"/>
      <c r="AJ104" s="13">
        <f t="shared" si="15"/>
        <v>17776243.580000002</v>
      </c>
      <c r="AK104" s="15">
        <f t="shared" si="13"/>
        <v>150238925.97</v>
      </c>
      <c r="AL104" s="19">
        <v>-11681</v>
      </c>
      <c r="AM104" s="8"/>
      <c r="AN104" s="13">
        <f t="shared" si="14"/>
        <v>218264098.18000001</v>
      </c>
    </row>
    <row r="105" spans="2:40" s="17" customFormat="1" x14ac:dyDescent="0.3">
      <c r="B105" s="23">
        <v>42522</v>
      </c>
      <c r="C105" s="13">
        <v>5038487.58</v>
      </c>
      <c r="D105" s="13">
        <v>0</v>
      </c>
      <c r="E105" s="13">
        <v>7892029.8499999996</v>
      </c>
      <c r="F105" s="13">
        <v>116553.09</v>
      </c>
      <c r="G105" s="13">
        <f t="shared" si="9"/>
        <v>13047070.52</v>
      </c>
      <c r="H105" s="13">
        <v>3203248.47</v>
      </c>
      <c r="I105" s="13">
        <v>3472736.3</v>
      </c>
      <c r="J105" s="13">
        <v>2014133.6099999994</v>
      </c>
      <c r="K105" s="13">
        <f t="shared" si="10"/>
        <v>21737188.899999999</v>
      </c>
      <c r="L105" s="13">
        <v>24246962</v>
      </c>
      <c r="M105" s="13">
        <v>0</v>
      </c>
      <c r="N105" s="13">
        <v>63331655.219999999</v>
      </c>
      <c r="O105" s="13">
        <v>8696373.4600000009</v>
      </c>
      <c r="P105" s="13">
        <v>261751.81</v>
      </c>
      <c r="Q105" s="13">
        <v>935271.04</v>
      </c>
      <c r="R105" s="13">
        <v>823869.05</v>
      </c>
      <c r="S105" s="13">
        <v>477942.2</v>
      </c>
      <c r="T105" s="13">
        <v>0</v>
      </c>
      <c r="U105" s="13">
        <v>0</v>
      </c>
      <c r="V105" s="13">
        <v>0</v>
      </c>
      <c r="W105" s="13">
        <f t="shared" si="16"/>
        <v>74526862.780000016</v>
      </c>
      <c r="X105" s="13">
        <v>1290.3599999999999</v>
      </c>
      <c r="Y105" s="13">
        <v>110633.55</v>
      </c>
      <c r="Z105" s="13">
        <v>395211.15</v>
      </c>
      <c r="AA105" s="13">
        <v>0</v>
      </c>
      <c r="AB105" s="13">
        <f t="shared" si="11"/>
        <v>507135.06000000006</v>
      </c>
      <c r="AC105" s="13">
        <v>9245978.2300000004</v>
      </c>
      <c r="AD105" s="13">
        <v>25689979.899999999</v>
      </c>
      <c r="AE105" s="13">
        <v>81028760.019999996</v>
      </c>
      <c r="AF105" s="13">
        <f t="shared" si="12"/>
        <v>115964718.14999999</v>
      </c>
      <c r="AG105" s="13">
        <v>0</v>
      </c>
      <c r="AH105" s="13">
        <v>0</v>
      </c>
      <c r="AI105" s="14"/>
      <c r="AJ105" s="13">
        <f t="shared" si="15"/>
        <v>45984150.899999999</v>
      </c>
      <c r="AK105" s="15">
        <f t="shared" si="13"/>
        <v>75033997.840000018</v>
      </c>
      <c r="AL105" s="19">
        <v>-1687</v>
      </c>
      <c r="AM105" s="8"/>
      <c r="AN105" s="13">
        <f t="shared" si="14"/>
        <v>236981179.88999999</v>
      </c>
    </row>
    <row r="106" spans="2:40" s="17" customFormat="1" x14ac:dyDescent="0.3">
      <c r="B106" s="24">
        <v>42552</v>
      </c>
      <c r="C106" s="13">
        <v>4398181.87</v>
      </c>
      <c r="D106" s="13">
        <v>0</v>
      </c>
      <c r="E106" s="13">
        <v>8062082.7400000002</v>
      </c>
      <c r="F106" s="13">
        <v>129635.87</v>
      </c>
      <c r="G106" s="13">
        <f t="shared" si="9"/>
        <v>12589900.479999999</v>
      </c>
      <c r="H106" s="13">
        <v>3926913.13</v>
      </c>
      <c r="I106" s="13">
        <v>2506148.16</v>
      </c>
      <c r="J106" s="13">
        <v>1325893.6000000001</v>
      </c>
      <c r="K106" s="13">
        <f t="shared" si="10"/>
        <v>20348855.370000001</v>
      </c>
      <c r="L106" s="13">
        <v>0</v>
      </c>
      <c r="M106" s="13">
        <v>0</v>
      </c>
      <c r="N106" s="13">
        <v>91215472.079999998</v>
      </c>
      <c r="O106" s="13">
        <v>10253477.029999999</v>
      </c>
      <c r="P106" s="13">
        <v>444728.44</v>
      </c>
      <c r="Q106" s="13">
        <v>981544.44</v>
      </c>
      <c r="R106" s="13">
        <v>0</v>
      </c>
      <c r="S106" s="13">
        <v>492040.39</v>
      </c>
      <c r="T106" s="13">
        <v>0</v>
      </c>
      <c r="U106" s="13">
        <v>0</v>
      </c>
      <c r="V106" s="13">
        <v>0</v>
      </c>
      <c r="W106" s="13">
        <f t="shared" si="16"/>
        <v>103387262.38</v>
      </c>
      <c r="X106" s="13">
        <v>0</v>
      </c>
      <c r="Y106" s="13">
        <v>110633.55</v>
      </c>
      <c r="Z106" s="13">
        <v>433569.21</v>
      </c>
      <c r="AA106" s="13">
        <v>0</v>
      </c>
      <c r="AB106" s="13">
        <f t="shared" si="11"/>
        <v>544202.76</v>
      </c>
      <c r="AC106" s="13">
        <v>9245978.2300000004</v>
      </c>
      <c r="AD106" s="13">
        <v>25689979.899999999</v>
      </c>
      <c r="AE106" s="13">
        <v>14861463.99</v>
      </c>
      <c r="AF106" s="13">
        <f t="shared" si="12"/>
        <v>49797422.119999997</v>
      </c>
      <c r="AG106" s="13">
        <v>0</v>
      </c>
      <c r="AH106" s="13">
        <v>0</v>
      </c>
      <c r="AI106" s="14"/>
      <c r="AJ106" s="13">
        <f t="shared" si="15"/>
        <v>20348855.370000001</v>
      </c>
      <c r="AK106" s="15">
        <f t="shared" si="13"/>
        <v>103931465.14</v>
      </c>
      <c r="AL106" s="19">
        <v>-24004</v>
      </c>
      <c r="AM106" s="8"/>
      <c r="AN106" s="13">
        <f t="shared" si="14"/>
        <v>174053738.63</v>
      </c>
    </row>
    <row r="107" spans="2:40" s="17" customFormat="1" x14ac:dyDescent="0.3">
      <c r="B107" s="25">
        <v>42583</v>
      </c>
      <c r="C107" s="13">
        <v>2562805.14</v>
      </c>
      <c r="D107" s="13">
        <v>0</v>
      </c>
      <c r="E107" s="13">
        <v>6348782.2400000002</v>
      </c>
      <c r="F107" s="13">
        <v>321275.36</v>
      </c>
      <c r="G107" s="13">
        <f t="shared" si="9"/>
        <v>9232862.7400000002</v>
      </c>
      <c r="H107" s="13">
        <v>4585515.24</v>
      </c>
      <c r="I107" s="13">
        <v>805006.93</v>
      </c>
      <c r="J107" s="13">
        <v>1728394.33</v>
      </c>
      <c r="K107" s="13">
        <f t="shared" si="10"/>
        <v>16351779.24</v>
      </c>
      <c r="L107" s="13">
        <v>10626072</v>
      </c>
      <c r="M107" s="13">
        <v>0</v>
      </c>
      <c r="N107" s="13">
        <v>65285018.950000003</v>
      </c>
      <c r="O107" s="13">
        <v>8861598.1799999997</v>
      </c>
      <c r="P107" s="13">
        <v>261751.81</v>
      </c>
      <c r="Q107" s="13">
        <v>963678.02</v>
      </c>
      <c r="R107" s="13">
        <v>0</v>
      </c>
      <c r="S107" s="13">
        <v>446147.75</v>
      </c>
      <c r="T107" s="13">
        <v>0</v>
      </c>
      <c r="U107" s="13">
        <v>0</v>
      </c>
      <c r="V107" s="13">
        <v>0</v>
      </c>
      <c r="W107" s="13">
        <f t="shared" si="16"/>
        <v>75818194.709999993</v>
      </c>
      <c r="X107" s="13">
        <v>0</v>
      </c>
      <c r="Y107" s="13">
        <v>110633.55</v>
      </c>
      <c r="Z107" s="13">
        <v>423122.94</v>
      </c>
      <c r="AA107" s="13">
        <v>0</v>
      </c>
      <c r="AB107" s="13">
        <f t="shared" si="11"/>
        <v>533756.49</v>
      </c>
      <c r="AC107" s="13">
        <v>9245978.2300000004</v>
      </c>
      <c r="AD107" s="13">
        <v>25689979.899999999</v>
      </c>
      <c r="AE107" s="13">
        <v>16506990.5</v>
      </c>
      <c r="AF107" s="13">
        <f t="shared" si="12"/>
        <v>51442948.629999995</v>
      </c>
      <c r="AG107" s="13">
        <v>0</v>
      </c>
      <c r="AH107" s="13">
        <v>0</v>
      </c>
      <c r="AI107" s="14"/>
      <c r="AJ107" s="13">
        <f t="shared" si="15"/>
        <v>26977851.240000002</v>
      </c>
      <c r="AK107" s="15">
        <f t="shared" si="13"/>
        <v>76351951.199999988</v>
      </c>
      <c r="AL107" s="19">
        <v>0</v>
      </c>
      <c r="AM107" s="8"/>
      <c r="AN107" s="13">
        <f t="shared" si="14"/>
        <v>154772751.06999999</v>
      </c>
    </row>
    <row r="108" spans="2:40" s="17" customFormat="1" x14ac:dyDescent="0.3">
      <c r="B108" s="26">
        <v>42614</v>
      </c>
      <c r="C108" s="13">
        <v>2332638.39</v>
      </c>
      <c r="D108" s="13">
        <v>0</v>
      </c>
      <c r="E108" s="13">
        <v>7040512.6699999999</v>
      </c>
      <c r="F108" s="13">
        <v>131770.88</v>
      </c>
      <c r="G108" s="13">
        <f t="shared" si="9"/>
        <v>9504921.9400000013</v>
      </c>
      <c r="H108" s="13">
        <v>4474171.07</v>
      </c>
      <c r="I108" s="13">
        <v>4965397.29</v>
      </c>
      <c r="J108" s="13">
        <v>1287984.79</v>
      </c>
      <c r="K108" s="13">
        <f t="shared" si="10"/>
        <v>20232475.09</v>
      </c>
      <c r="L108" s="13">
        <v>0</v>
      </c>
      <c r="M108" s="13">
        <v>0</v>
      </c>
      <c r="N108" s="13">
        <v>80220021.599999994</v>
      </c>
      <c r="O108" s="13">
        <v>8497312.2799999993</v>
      </c>
      <c r="P108" s="13">
        <v>261751.81</v>
      </c>
      <c r="Q108" s="13">
        <v>958765.4</v>
      </c>
      <c r="R108" s="13">
        <v>207719.62</v>
      </c>
      <c r="S108" s="13">
        <v>470494.85</v>
      </c>
      <c r="T108" s="13">
        <v>0</v>
      </c>
      <c r="U108" s="13">
        <v>0</v>
      </c>
      <c r="V108" s="13">
        <v>0</v>
      </c>
      <c r="W108" s="13">
        <f t="shared" si="16"/>
        <v>90616065.560000002</v>
      </c>
      <c r="X108" s="13">
        <v>0</v>
      </c>
      <c r="Y108" s="13">
        <v>110633.55</v>
      </c>
      <c r="Z108" s="13">
        <v>344838.73</v>
      </c>
      <c r="AA108" s="13">
        <v>0</v>
      </c>
      <c r="AB108" s="13">
        <f t="shared" si="11"/>
        <v>455472.27999999997</v>
      </c>
      <c r="AC108" s="13">
        <v>9245978.2300000004</v>
      </c>
      <c r="AD108" s="13">
        <v>25689979.899999999</v>
      </c>
      <c r="AE108" s="13">
        <v>2193326.1800000002</v>
      </c>
      <c r="AF108" s="13">
        <f t="shared" si="12"/>
        <v>37129284.309999995</v>
      </c>
      <c r="AG108" s="13">
        <v>0</v>
      </c>
      <c r="AH108" s="13">
        <f>15545271</f>
        <v>15545271</v>
      </c>
      <c r="AI108" s="14"/>
      <c r="AJ108" s="13">
        <f t="shared" si="15"/>
        <v>20232475.09</v>
      </c>
      <c r="AK108" s="15">
        <f t="shared" si="13"/>
        <v>91071537.840000004</v>
      </c>
      <c r="AL108" s="19">
        <v>0</v>
      </c>
      <c r="AM108" s="8"/>
      <c r="AN108" s="13">
        <f t="shared" si="14"/>
        <v>163978568.24000001</v>
      </c>
    </row>
    <row r="109" spans="2:40" s="17" customFormat="1" x14ac:dyDescent="0.3">
      <c r="B109" s="27">
        <v>42644</v>
      </c>
      <c r="C109" s="13">
        <v>3845167.67</v>
      </c>
      <c r="D109" s="13">
        <v>0</v>
      </c>
      <c r="E109" s="13">
        <v>6902679.7300000004</v>
      </c>
      <c r="F109" s="13">
        <v>597026.1</v>
      </c>
      <c r="G109" s="13">
        <f t="shared" si="9"/>
        <v>11344873.5</v>
      </c>
      <c r="H109" s="13">
        <v>2556585.77</v>
      </c>
      <c r="I109" s="13">
        <v>894060.69</v>
      </c>
      <c r="J109" s="13">
        <v>1240700.3900000006</v>
      </c>
      <c r="K109" s="13">
        <f t="shared" si="10"/>
        <v>16036220.35</v>
      </c>
      <c r="L109" s="13">
        <v>14000000</v>
      </c>
      <c r="M109" s="13">
        <v>0</v>
      </c>
      <c r="N109" s="13">
        <v>57135680.969999999</v>
      </c>
      <c r="O109" s="13">
        <v>11097001.68</v>
      </c>
      <c r="P109" s="13">
        <v>417513.97</v>
      </c>
      <c r="Q109" s="13">
        <v>997976.8</v>
      </c>
      <c r="R109" s="13">
        <v>938909.87</v>
      </c>
      <c r="S109" s="13">
        <v>486029.22</v>
      </c>
      <c r="T109" s="13">
        <v>0</v>
      </c>
      <c r="U109" s="13">
        <v>0</v>
      </c>
      <c r="V109" s="13">
        <v>0</v>
      </c>
      <c r="W109" s="13">
        <f t="shared" si="16"/>
        <v>71073112.510000005</v>
      </c>
      <c r="X109" s="13">
        <v>0</v>
      </c>
      <c r="Y109" s="13">
        <v>110633.55</v>
      </c>
      <c r="Z109" s="13">
        <v>336459.79</v>
      </c>
      <c r="AA109" s="13">
        <v>0</v>
      </c>
      <c r="AB109" s="13">
        <f t="shared" si="11"/>
        <v>447093.33999999997</v>
      </c>
      <c r="AC109" s="13">
        <v>9245978.2300000004</v>
      </c>
      <c r="AD109" s="13">
        <v>25689979.899999999</v>
      </c>
      <c r="AE109" s="13">
        <v>1050000</v>
      </c>
      <c r="AF109" s="13">
        <f t="shared" si="12"/>
        <v>35985958.129999995</v>
      </c>
      <c r="AG109" s="13">
        <v>0</v>
      </c>
      <c r="AH109" s="13">
        <v>0</v>
      </c>
      <c r="AI109" s="14"/>
      <c r="AJ109" s="13">
        <f t="shared" si="15"/>
        <v>30036220.350000001</v>
      </c>
      <c r="AK109" s="15">
        <f t="shared" si="13"/>
        <v>71520205.850000009</v>
      </c>
      <c r="AL109" s="19">
        <v>0</v>
      </c>
      <c r="AM109" s="8"/>
      <c r="AN109" s="13">
        <f t="shared" si="14"/>
        <v>137542384.33000001</v>
      </c>
    </row>
    <row r="110" spans="2:40" s="17" customFormat="1" x14ac:dyDescent="0.3">
      <c r="B110" s="28">
        <v>42675</v>
      </c>
      <c r="C110" s="13">
        <v>2490889.4300000002</v>
      </c>
      <c r="D110" s="13">
        <v>0</v>
      </c>
      <c r="E110" s="13">
        <v>9270675.4199999999</v>
      </c>
      <c r="F110" s="13">
        <v>16873.96</v>
      </c>
      <c r="G110" s="13">
        <f t="shared" si="9"/>
        <v>11778438.810000001</v>
      </c>
      <c r="H110" s="13">
        <v>3137305.47</v>
      </c>
      <c r="I110" s="13">
        <v>-2567806.37</v>
      </c>
      <c r="J110" s="13">
        <v>1309837.2399999984</v>
      </c>
      <c r="K110" s="13">
        <f t="shared" si="10"/>
        <v>13657775.149999999</v>
      </c>
      <c r="L110" s="13">
        <v>20892000</v>
      </c>
      <c r="M110" s="13">
        <v>0</v>
      </c>
      <c r="N110" s="13">
        <v>64306179.770000003</v>
      </c>
      <c r="O110" s="13">
        <v>0</v>
      </c>
      <c r="P110" s="13">
        <v>261751.81</v>
      </c>
      <c r="Q110" s="13">
        <v>939523.74</v>
      </c>
      <c r="R110" s="13">
        <v>0</v>
      </c>
      <c r="S110" s="13">
        <v>461094.21</v>
      </c>
      <c r="T110" s="13">
        <v>0</v>
      </c>
      <c r="U110" s="13">
        <v>0</v>
      </c>
      <c r="V110" s="13">
        <v>0</v>
      </c>
      <c r="W110" s="13">
        <f t="shared" si="16"/>
        <v>65968549.530000009</v>
      </c>
      <c r="X110" s="13">
        <v>0</v>
      </c>
      <c r="Y110" s="13">
        <v>110633.55</v>
      </c>
      <c r="Z110" s="13">
        <v>416858.13</v>
      </c>
      <c r="AA110" s="13">
        <v>0</v>
      </c>
      <c r="AB110" s="13">
        <f t="shared" si="11"/>
        <v>527491.68000000005</v>
      </c>
      <c r="AC110" s="13">
        <v>9245978.2799999993</v>
      </c>
      <c r="AD110" s="13">
        <v>25689979.899999999</v>
      </c>
      <c r="AE110" s="13">
        <v>37473634.93</v>
      </c>
      <c r="AF110" s="13">
        <f t="shared" si="12"/>
        <v>72409593.109999999</v>
      </c>
      <c r="AG110" s="13">
        <v>0</v>
      </c>
      <c r="AH110" s="13">
        <v>15545271</v>
      </c>
      <c r="AI110" s="14"/>
      <c r="AJ110" s="13">
        <f t="shared" si="15"/>
        <v>34549775.149999999</v>
      </c>
      <c r="AK110" s="15">
        <f t="shared" si="13"/>
        <v>66496041.210000008</v>
      </c>
      <c r="AL110" s="19">
        <v>-3546</v>
      </c>
      <c r="AM110" s="8"/>
      <c r="AN110" s="13">
        <f t="shared" si="14"/>
        <v>188997134.47000003</v>
      </c>
    </row>
    <row r="111" spans="2:40" s="17" customFormat="1" x14ac:dyDescent="0.3">
      <c r="B111" s="29">
        <v>42705</v>
      </c>
      <c r="C111" s="13">
        <v>4210082.84</v>
      </c>
      <c r="D111" s="13">
        <v>0</v>
      </c>
      <c r="E111" s="13">
        <v>8802444.6400000006</v>
      </c>
      <c r="F111" s="13">
        <v>345694.87</v>
      </c>
      <c r="G111" s="13">
        <f t="shared" si="9"/>
        <v>13358222.35</v>
      </c>
      <c r="H111" s="13">
        <v>4635044.45</v>
      </c>
      <c r="I111" s="13">
        <v>696484.42</v>
      </c>
      <c r="J111" s="13">
        <v>1396162.2200000007</v>
      </c>
      <c r="K111" s="13">
        <f t="shared" si="10"/>
        <v>20085913.440000005</v>
      </c>
      <c r="L111" s="13">
        <v>12080704</v>
      </c>
      <c r="M111" s="13">
        <v>0</v>
      </c>
      <c r="N111" s="13">
        <v>237037077.77000001</v>
      </c>
      <c r="O111" s="13">
        <v>17578368.379999999</v>
      </c>
      <c r="P111" s="13">
        <v>261751.81</v>
      </c>
      <c r="Q111" s="13">
        <v>956923.74</v>
      </c>
      <c r="R111" s="13">
        <v>1058025.67</v>
      </c>
      <c r="S111" s="13">
        <v>467962.37</v>
      </c>
      <c r="T111" s="13">
        <v>0</v>
      </c>
      <c r="U111" s="13">
        <v>0</v>
      </c>
      <c r="V111" s="13">
        <v>0</v>
      </c>
      <c r="W111" s="13">
        <f t="shared" si="16"/>
        <v>257360109.74000001</v>
      </c>
      <c r="X111" s="13">
        <v>845.05</v>
      </c>
      <c r="Y111" s="13">
        <v>110633.55</v>
      </c>
      <c r="Z111" s="13">
        <v>443938.35</v>
      </c>
      <c r="AA111" s="13">
        <v>0</v>
      </c>
      <c r="AB111" s="13">
        <f t="shared" si="11"/>
        <v>555416.94999999995</v>
      </c>
      <c r="AC111" s="13">
        <v>0</v>
      </c>
      <c r="AD111" s="13">
        <v>51379960.490000002</v>
      </c>
      <c r="AE111" s="13">
        <f>12337009.5</f>
        <v>12337009.5</v>
      </c>
      <c r="AF111" s="13">
        <f t="shared" si="12"/>
        <v>63716969.990000002</v>
      </c>
      <c r="AG111" s="13">
        <v>0</v>
      </c>
      <c r="AH111" s="13">
        <v>40700000</v>
      </c>
      <c r="AI111" s="14"/>
      <c r="AJ111" s="13">
        <f t="shared" si="15"/>
        <v>32166617.440000005</v>
      </c>
      <c r="AK111" s="15">
        <f t="shared" si="13"/>
        <v>257915526.69</v>
      </c>
      <c r="AL111" s="19">
        <v>0</v>
      </c>
      <c r="AM111" s="8"/>
      <c r="AN111" s="13">
        <f t="shared" si="14"/>
        <v>394499114.12</v>
      </c>
    </row>
    <row r="112" spans="2:40" s="17" customFormat="1" x14ac:dyDescent="0.3">
      <c r="B112" s="12">
        <v>42736</v>
      </c>
      <c r="C112" s="13">
        <v>84935611.260000005</v>
      </c>
      <c r="D112" s="13">
        <v>0</v>
      </c>
      <c r="E112" s="13">
        <v>5148799.01</v>
      </c>
      <c r="F112" s="13">
        <v>1349963.3800000001</v>
      </c>
      <c r="G112" s="13">
        <f t="shared" si="9"/>
        <v>91434373.650000006</v>
      </c>
      <c r="H112" s="13">
        <v>5204691.53</v>
      </c>
      <c r="I112" s="13">
        <v>888285.95</v>
      </c>
      <c r="J112" s="13">
        <v>2088480.02</v>
      </c>
      <c r="K112" s="13">
        <f t="shared" si="10"/>
        <v>99615831.150000006</v>
      </c>
      <c r="L112" s="13">
        <v>0</v>
      </c>
      <c r="M112" s="13">
        <v>0</v>
      </c>
      <c r="N112" s="13">
        <v>73349232.579999998</v>
      </c>
      <c r="O112" s="13">
        <v>0</v>
      </c>
      <c r="P112" s="13">
        <v>257262.98</v>
      </c>
      <c r="Q112" s="13">
        <v>937691.9</v>
      </c>
      <c r="R112" s="13">
        <v>0</v>
      </c>
      <c r="S112" s="13">
        <v>462602.73</v>
      </c>
      <c r="T112" s="13">
        <v>0</v>
      </c>
      <c r="U112" s="13">
        <v>0</v>
      </c>
      <c r="V112" s="13">
        <v>0</v>
      </c>
      <c r="W112" s="13">
        <f t="shared" si="16"/>
        <v>75006790.190000013</v>
      </c>
      <c r="X112" s="13">
        <v>0</v>
      </c>
      <c r="Y112" s="13">
        <v>114927.42</v>
      </c>
      <c r="Z112" s="14">
        <v>0</v>
      </c>
      <c r="AA112" s="13">
        <v>0</v>
      </c>
      <c r="AB112" s="13">
        <f t="shared" si="11"/>
        <v>114927.42</v>
      </c>
      <c r="AC112" s="13">
        <v>0</v>
      </c>
      <c r="AD112" s="13">
        <v>0</v>
      </c>
      <c r="AE112" s="13">
        <v>0</v>
      </c>
      <c r="AF112" s="13">
        <f t="shared" si="12"/>
        <v>0</v>
      </c>
      <c r="AG112" s="13">
        <v>0</v>
      </c>
      <c r="AH112" s="13">
        <v>127674.68</v>
      </c>
      <c r="AI112" s="14"/>
      <c r="AJ112" s="13">
        <f t="shared" si="15"/>
        <v>99615831.150000006</v>
      </c>
      <c r="AK112" s="15">
        <f t="shared" si="13"/>
        <v>75121717.610000014</v>
      </c>
      <c r="AL112" s="19">
        <v>-919432.75</v>
      </c>
      <c r="AM112" s="8"/>
      <c r="AN112" s="13">
        <f t="shared" si="14"/>
        <v>173945790.69000003</v>
      </c>
    </row>
    <row r="113" spans="2:40" s="17" customFormat="1" x14ac:dyDescent="0.3">
      <c r="B113" s="18">
        <v>42767</v>
      </c>
      <c r="C113" s="13">
        <v>12248395.439999999</v>
      </c>
      <c r="D113" s="13">
        <v>0</v>
      </c>
      <c r="E113" s="13">
        <v>4772653.34</v>
      </c>
      <c r="F113" s="13">
        <v>760046.10000000009</v>
      </c>
      <c r="G113" s="13">
        <f t="shared" si="9"/>
        <v>17781094.880000003</v>
      </c>
      <c r="H113" s="13">
        <v>4217251.79</v>
      </c>
      <c r="I113" s="13">
        <v>531256.17000000004</v>
      </c>
      <c r="J113" s="13">
        <v>1824322.4399999995</v>
      </c>
      <c r="K113" s="13">
        <f t="shared" si="10"/>
        <v>24353925.280000001</v>
      </c>
      <c r="L113" s="13">
        <v>9541913</v>
      </c>
      <c r="M113" s="13">
        <v>0</v>
      </c>
      <c r="N113" s="13">
        <v>63333414.969999999</v>
      </c>
      <c r="O113" s="13">
        <v>8791188.8599999994</v>
      </c>
      <c r="P113" s="13">
        <v>377708.83</v>
      </c>
      <c r="Q113" s="13">
        <v>1038214.17</v>
      </c>
      <c r="R113" s="13">
        <v>549680.11</v>
      </c>
      <c r="S113" s="13">
        <v>538123.69999999995</v>
      </c>
      <c r="T113" s="13">
        <v>0</v>
      </c>
      <c r="U113" s="13">
        <v>0</v>
      </c>
      <c r="V113" s="13">
        <v>0</v>
      </c>
      <c r="W113" s="13">
        <f t="shared" si="16"/>
        <v>74628330.640000001</v>
      </c>
      <c r="X113" s="13">
        <v>0</v>
      </c>
      <c r="Y113" s="13">
        <v>114927.42</v>
      </c>
      <c r="Z113" s="13">
        <v>1143686.21</v>
      </c>
      <c r="AA113" s="13">
        <v>0</v>
      </c>
      <c r="AB113" s="13">
        <f t="shared" si="11"/>
        <v>1258613.6299999999</v>
      </c>
      <c r="AC113" s="13">
        <v>10731947.310000001</v>
      </c>
      <c r="AD113" s="13">
        <v>28182821.899999999</v>
      </c>
      <c r="AE113" s="13">
        <v>0</v>
      </c>
      <c r="AF113" s="13">
        <f t="shared" si="12"/>
        <v>38914769.210000001</v>
      </c>
      <c r="AG113" s="13">
        <v>0</v>
      </c>
      <c r="AH113" s="13">
        <v>0</v>
      </c>
      <c r="AI113" s="14"/>
      <c r="AJ113" s="13">
        <f t="shared" si="15"/>
        <v>33895838.280000001</v>
      </c>
      <c r="AK113" s="15">
        <f t="shared" si="13"/>
        <v>75886944.269999996</v>
      </c>
      <c r="AL113" s="19">
        <v>-252328</v>
      </c>
      <c r="AM113" s="8"/>
      <c r="AN113" s="13">
        <f t="shared" si="14"/>
        <v>148445223.75999999</v>
      </c>
    </row>
    <row r="114" spans="2:40" s="17" customFormat="1" x14ac:dyDescent="0.3">
      <c r="B114" s="20">
        <v>42795</v>
      </c>
      <c r="C114" s="13">
        <v>10440617.5</v>
      </c>
      <c r="D114" s="13">
        <v>0</v>
      </c>
      <c r="E114" s="13">
        <v>6199405.3600000003</v>
      </c>
      <c r="F114" s="13">
        <v>972333.6399999999</v>
      </c>
      <c r="G114" s="13">
        <f t="shared" si="9"/>
        <v>17612356.5</v>
      </c>
      <c r="H114" s="13">
        <v>5722881.0999999996</v>
      </c>
      <c r="I114" s="13">
        <v>2233022.4099999997</v>
      </c>
      <c r="J114" s="13">
        <v>2263125.08</v>
      </c>
      <c r="K114" s="13">
        <f t="shared" si="10"/>
        <v>27831385.090000004</v>
      </c>
      <c r="L114" s="13">
        <v>7909967</v>
      </c>
      <c r="M114" s="13">
        <v>0</v>
      </c>
      <c r="N114" s="13">
        <v>98702470.450000003</v>
      </c>
      <c r="O114" s="13">
        <v>12356995.91</v>
      </c>
      <c r="P114" s="13">
        <v>245864.23</v>
      </c>
      <c r="Q114" s="13">
        <v>1023599.37</v>
      </c>
      <c r="R114" s="13">
        <v>724858.84</v>
      </c>
      <c r="S114" s="13">
        <v>480097.82</v>
      </c>
      <c r="T114" s="13">
        <v>0</v>
      </c>
      <c r="U114" s="13">
        <v>0</v>
      </c>
      <c r="V114" s="13">
        <v>0</v>
      </c>
      <c r="W114" s="13">
        <f t="shared" si="16"/>
        <v>113533886.62</v>
      </c>
      <c r="X114" s="13">
        <v>524.89</v>
      </c>
      <c r="Y114" s="13">
        <v>114927.42</v>
      </c>
      <c r="Z114" s="13">
        <v>310635.19</v>
      </c>
      <c r="AA114" s="13">
        <v>0</v>
      </c>
      <c r="AB114" s="13">
        <f t="shared" si="11"/>
        <v>426087.5</v>
      </c>
      <c r="AC114" s="13">
        <v>10731947.310000001</v>
      </c>
      <c r="AD114" s="13">
        <v>28182821.899999999</v>
      </c>
      <c r="AE114" s="13">
        <v>20381786.600000001</v>
      </c>
      <c r="AF114" s="13">
        <f t="shared" si="12"/>
        <v>59296555.810000002</v>
      </c>
      <c r="AG114" s="13">
        <v>0</v>
      </c>
      <c r="AH114" s="13">
        <v>0</v>
      </c>
      <c r="AI114" s="14"/>
      <c r="AJ114" s="13">
        <f t="shared" si="15"/>
        <v>35741352.090000004</v>
      </c>
      <c r="AK114" s="15">
        <f t="shared" si="13"/>
        <v>113959974.12</v>
      </c>
      <c r="AL114" s="19">
        <v>-318.42</v>
      </c>
      <c r="AM114" s="8"/>
      <c r="AN114" s="13">
        <f t="shared" si="14"/>
        <v>208997563.60000002</v>
      </c>
    </row>
    <row r="115" spans="2:40" s="17" customFormat="1" x14ac:dyDescent="0.3">
      <c r="B115" s="21">
        <v>42826</v>
      </c>
      <c r="C115" s="13">
        <v>2549695.21</v>
      </c>
      <c r="D115" s="13">
        <v>0</v>
      </c>
      <c r="E115" s="13">
        <v>2875146.36</v>
      </c>
      <c r="F115" s="13">
        <v>356670.98</v>
      </c>
      <c r="G115" s="13">
        <f t="shared" si="9"/>
        <v>5781512.5500000007</v>
      </c>
      <c r="H115" s="13">
        <v>2311166.56</v>
      </c>
      <c r="I115" s="13">
        <v>372916.49000000005</v>
      </c>
      <c r="J115" s="13">
        <v>1456339.42</v>
      </c>
      <c r="K115" s="13">
        <f t="shared" si="10"/>
        <v>9921935.0200000014</v>
      </c>
      <c r="L115" s="13">
        <v>15013243</v>
      </c>
      <c r="M115" s="13">
        <v>0</v>
      </c>
      <c r="N115" s="13">
        <v>82589179.680000007</v>
      </c>
      <c r="O115" s="13">
        <v>8741434.7100000009</v>
      </c>
      <c r="P115" s="13">
        <v>552736.81000000006</v>
      </c>
      <c r="Q115" s="13">
        <v>832827.16</v>
      </c>
      <c r="R115" s="13">
        <v>568515.31000000006</v>
      </c>
      <c r="S115" s="13">
        <v>443241.49</v>
      </c>
      <c r="T115" s="13">
        <v>0</v>
      </c>
      <c r="U115" s="13">
        <v>0</v>
      </c>
      <c r="V115" s="13">
        <v>0</v>
      </c>
      <c r="W115" s="13">
        <f t="shared" si="16"/>
        <v>93727935.160000011</v>
      </c>
      <c r="X115" s="13">
        <v>0</v>
      </c>
      <c r="Y115" s="13">
        <v>114927.42</v>
      </c>
      <c r="Z115" s="13">
        <v>411174.18</v>
      </c>
      <c r="AA115" s="13">
        <v>0</v>
      </c>
      <c r="AB115" s="13">
        <f t="shared" si="11"/>
        <v>526101.6</v>
      </c>
      <c r="AC115" s="13">
        <v>10731947.310000001</v>
      </c>
      <c r="AD115" s="13">
        <v>28182821.899999999</v>
      </c>
      <c r="AE115" s="13">
        <v>200000</v>
      </c>
      <c r="AF115" s="13">
        <f t="shared" si="12"/>
        <v>39114769.210000001</v>
      </c>
      <c r="AG115" s="13">
        <v>0</v>
      </c>
      <c r="AH115" s="13">
        <v>0</v>
      </c>
      <c r="AI115" s="14"/>
      <c r="AJ115" s="13">
        <f t="shared" si="15"/>
        <v>24935178.020000003</v>
      </c>
      <c r="AK115" s="15">
        <f t="shared" si="13"/>
        <v>94254036.760000005</v>
      </c>
      <c r="AL115" s="19">
        <v>-2747</v>
      </c>
      <c r="AM115" s="8"/>
      <c r="AN115" s="13">
        <f t="shared" si="14"/>
        <v>158301236.99000001</v>
      </c>
    </row>
    <row r="116" spans="2:40" s="17" customFormat="1" x14ac:dyDescent="0.3">
      <c r="B116" s="22">
        <v>42856</v>
      </c>
      <c r="C116" s="13">
        <v>3137222.1</v>
      </c>
      <c r="D116" s="13">
        <v>0</v>
      </c>
      <c r="E116" s="13">
        <v>6098028.3799999999</v>
      </c>
      <c r="F116" s="13">
        <v>410341.15</v>
      </c>
      <c r="G116" s="13">
        <f t="shared" si="9"/>
        <v>9645591.6300000008</v>
      </c>
      <c r="H116" s="13">
        <v>2981992.75</v>
      </c>
      <c r="I116" s="13">
        <v>999001.42</v>
      </c>
      <c r="J116" s="13">
        <v>2037709.94</v>
      </c>
      <c r="K116" s="13">
        <f t="shared" si="10"/>
        <v>15664295.74</v>
      </c>
      <c r="L116" s="13">
        <v>0</v>
      </c>
      <c r="M116" s="13">
        <v>0</v>
      </c>
      <c r="N116" s="13">
        <v>94689989.079999998</v>
      </c>
      <c r="O116" s="13">
        <v>10519665</v>
      </c>
      <c r="P116" s="13">
        <v>245864.23</v>
      </c>
      <c r="Q116" s="13">
        <v>975011.8</v>
      </c>
      <c r="R116" s="13">
        <v>498919.4</v>
      </c>
      <c r="S116" s="13">
        <v>502151.19</v>
      </c>
      <c r="T116" s="13">
        <v>0</v>
      </c>
      <c r="U116" s="13">
        <v>0</v>
      </c>
      <c r="V116" s="13">
        <v>0</v>
      </c>
      <c r="W116" s="13">
        <f t="shared" si="16"/>
        <v>107431600.7</v>
      </c>
      <c r="X116" s="13">
        <v>0</v>
      </c>
      <c r="Y116" s="13">
        <v>114927.42</v>
      </c>
      <c r="Z116" s="13">
        <v>435963.02</v>
      </c>
      <c r="AA116" s="13">
        <v>0</v>
      </c>
      <c r="AB116" s="13">
        <f t="shared" si="11"/>
        <v>550890.44000000006</v>
      </c>
      <c r="AC116" s="13">
        <v>10731947.310000001</v>
      </c>
      <c r="AD116" s="13">
        <v>28182821.899999999</v>
      </c>
      <c r="AE116" s="13">
        <v>260000</v>
      </c>
      <c r="AF116" s="13">
        <f t="shared" si="12"/>
        <v>39174769.210000001</v>
      </c>
      <c r="AG116" s="13">
        <v>0</v>
      </c>
      <c r="AH116" s="13">
        <v>5922275.0099999998</v>
      </c>
      <c r="AI116" s="14"/>
      <c r="AJ116" s="13">
        <f t="shared" si="15"/>
        <v>15664295.74</v>
      </c>
      <c r="AK116" s="15">
        <f t="shared" si="13"/>
        <v>107982491.14</v>
      </c>
      <c r="AL116" s="19">
        <v>0</v>
      </c>
      <c r="AM116" s="8"/>
      <c r="AN116" s="13">
        <f t="shared" si="14"/>
        <v>168743831.09999999</v>
      </c>
    </row>
    <row r="117" spans="2:40" s="17" customFormat="1" x14ac:dyDescent="0.3">
      <c r="B117" s="23">
        <v>42887</v>
      </c>
      <c r="C117" s="13">
        <v>3233635.68</v>
      </c>
      <c r="D117" s="13">
        <v>0</v>
      </c>
      <c r="E117" s="13">
        <v>6294156.2400000002</v>
      </c>
      <c r="F117" s="13">
        <v>86115.63</v>
      </c>
      <c r="G117" s="13">
        <f t="shared" si="9"/>
        <v>9613907.5500000007</v>
      </c>
      <c r="H117" s="13">
        <v>2967126.85</v>
      </c>
      <c r="I117" s="13">
        <v>1374189.3</v>
      </c>
      <c r="J117" s="13">
        <v>1617914.7200000007</v>
      </c>
      <c r="K117" s="13">
        <f t="shared" si="10"/>
        <v>15573138.420000002</v>
      </c>
      <c r="L117" s="13">
        <v>11126360</v>
      </c>
      <c r="M117" s="13">
        <v>0</v>
      </c>
      <c r="N117" s="13">
        <v>63452395.450000003</v>
      </c>
      <c r="O117" s="13">
        <v>0</v>
      </c>
      <c r="P117" s="13">
        <v>245645.32</v>
      </c>
      <c r="Q117" s="13">
        <v>883976.25</v>
      </c>
      <c r="R117" s="13">
        <v>578348.81000000006</v>
      </c>
      <c r="S117" s="13">
        <v>464580.54</v>
      </c>
      <c r="T117" s="13">
        <v>0</v>
      </c>
      <c r="U117" s="13">
        <v>0</v>
      </c>
      <c r="V117" s="13">
        <v>1698564.68</v>
      </c>
      <c r="W117" s="13">
        <f t="shared" si="16"/>
        <v>67323511.050000012</v>
      </c>
      <c r="X117" s="13">
        <v>0</v>
      </c>
      <c r="Y117" s="13">
        <v>114927.42</v>
      </c>
      <c r="Z117" s="13">
        <v>369388.97</v>
      </c>
      <c r="AA117" s="13">
        <v>0</v>
      </c>
      <c r="AB117" s="13">
        <f t="shared" si="11"/>
        <v>484316.38999999996</v>
      </c>
      <c r="AC117" s="13">
        <v>10731947.310000001</v>
      </c>
      <c r="AD117" s="13">
        <v>28182821.899999999</v>
      </c>
      <c r="AE117" s="13">
        <v>1870373.58</v>
      </c>
      <c r="AF117" s="13">
        <f t="shared" si="12"/>
        <v>40785142.789999999</v>
      </c>
      <c r="AG117" s="13">
        <v>0</v>
      </c>
      <c r="AH117" s="13">
        <f>5922275+23218673.25+10700000</f>
        <v>39840948.25</v>
      </c>
      <c r="AI117" s="14"/>
      <c r="AJ117" s="13">
        <f t="shared" si="15"/>
        <v>26699498.420000002</v>
      </c>
      <c r="AK117" s="15">
        <f t="shared" si="13"/>
        <v>67807827.440000013</v>
      </c>
      <c r="AL117" s="19">
        <v>0</v>
      </c>
      <c r="AM117" s="8"/>
      <c r="AN117" s="13">
        <f t="shared" si="14"/>
        <v>175133416.90000001</v>
      </c>
    </row>
    <row r="118" spans="2:40" s="17" customFormat="1" x14ac:dyDescent="0.3">
      <c r="B118" s="24">
        <v>42917</v>
      </c>
      <c r="C118" s="13">
        <v>3540778.62</v>
      </c>
      <c r="D118" s="13">
        <v>0</v>
      </c>
      <c r="E118" s="13">
        <v>7884459.29</v>
      </c>
      <c r="F118" s="13">
        <v>124832.65</v>
      </c>
      <c r="G118" s="13">
        <f t="shared" si="9"/>
        <v>11550070.560000001</v>
      </c>
      <c r="H118" s="13">
        <v>4749013.67</v>
      </c>
      <c r="I118" s="13">
        <v>1822184.06</v>
      </c>
      <c r="J118" s="13">
        <v>1513185.8399999999</v>
      </c>
      <c r="K118" s="13">
        <f t="shared" si="10"/>
        <v>19634454.129999999</v>
      </c>
      <c r="L118" s="13">
        <v>10679875</v>
      </c>
      <c r="M118" s="13">
        <v>0</v>
      </c>
      <c r="N118" s="13">
        <v>63151233.329999998</v>
      </c>
      <c r="O118" s="13">
        <v>298128.40000000002</v>
      </c>
      <c r="P118" s="13">
        <v>245864.22999999998</v>
      </c>
      <c r="Q118" s="13">
        <v>874709.13</v>
      </c>
      <c r="R118" s="13">
        <v>588793.02</v>
      </c>
      <c r="S118" s="13">
        <v>501423.66</v>
      </c>
      <c r="T118" s="13">
        <v>0</v>
      </c>
      <c r="U118" s="13">
        <v>0</v>
      </c>
      <c r="V118" s="13">
        <v>15771268.35</v>
      </c>
      <c r="W118" s="13">
        <f t="shared" si="16"/>
        <v>81431420.11999999</v>
      </c>
      <c r="X118" s="13">
        <v>0</v>
      </c>
      <c r="Y118" s="13">
        <v>114927.42</v>
      </c>
      <c r="Z118" s="13">
        <v>560299.19999999995</v>
      </c>
      <c r="AA118" s="13">
        <v>0</v>
      </c>
      <c r="AB118" s="13">
        <f t="shared" si="11"/>
        <v>675226.62</v>
      </c>
      <c r="AC118" s="13">
        <v>10731947.310000001</v>
      </c>
      <c r="AD118" s="13">
        <v>28182821.899999999</v>
      </c>
      <c r="AE118" s="13">
        <v>0</v>
      </c>
      <c r="AF118" s="13">
        <f t="shared" si="12"/>
        <v>38914769.210000001</v>
      </c>
      <c r="AG118" s="13">
        <v>0</v>
      </c>
      <c r="AH118" s="13">
        <v>0</v>
      </c>
      <c r="AI118" s="14"/>
      <c r="AJ118" s="13">
        <f t="shared" si="15"/>
        <v>30314329.129999999</v>
      </c>
      <c r="AK118" s="15">
        <f t="shared" si="13"/>
        <v>82106646.739999995</v>
      </c>
      <c r="AL118" s="19">
        <v>-5936</v>
      </c>
      <c r="AM118" s="8"/>
      <c r="AN118" s="13">
        <f t="shared" si="14"/>
        <v>151329809.07999998</v>
      </c>
    </row>
    <row r="119" spans="2:40" s="17" customFormat="1" x14ac:dyDescent="0.3">
      <c r="B119" s="25">
        <v>42948</v>
      </c>
      <c r="C119" s="13">
        <v>3470938.23</v>
      </c>
      <c r="D119" s="13">
        <v>0</v>
      </c>
      <c r="E119" s="13">
        <v>5605585.1100000003</v>
      </c>
      <c r="F119" s="13">
        <v>1291656.02</v>
      </c>
      <c r="G119" s="13">
        <f t="shared" si="9"/>
        <v>10368179.359999999</v>
      </c>
      <c r="H119" s="13">
        <v>3351304.66</v>
      </c>
      <c r="I119" s="13">
        <v>1195147.3</v>
      </c>
      <c r="J119" s="13">
        <v>1649479.9399999995</v>
      </c>
      <c r="K119" s="13">
        <f t="shared" si="10"/>
        <v>16564111.26</v>
      </c>
      <c r="L119" s="13">
        <v>11737963</v>
      </c>
      <c r="M119" s="13">
        <v>0</v>
      </c>
      <c r="N119" s="13">
        <v>82821661.980000004</v>
      </c>
      <c r="O119" s="13">
        <v>7928326.2599999998</v>
      </c>
      <c r="P119" s="13">
        <v>257262.98</v>
      </c>
      <c r="Q119" s="13">
        <v>972122.78</v>
      </c>
      <c r="R119" s="13">
        <v>711615.52</v>
      </c>
      <c r="S119" s="13">
        <v>453654.22</v>
      </c>
      <c r="T119" s="13">
        <v>0</v>
      </c>
      <c r="U119" s="13">
        <v>0</v>
      </c>
      <c r="V119" s="13">
        <v>0</v>
      </c>
      <c r="W119" s="13">
        <f t="shared" si="16"/>
        <v>93144643.74000001</v>
      </c>
      <c r="X119" s="13">
        <v>0</v>
      </c>
      <c r="Y119" s="13">
        <v>114927.42</v>
      </c>
      <c r="Z119" s="13">
        <v>447076.37</v>
      </c>
      <c r="AA119" s="13">
        <v>0</v>
      </c>
      <c r="AB119" s="13">
        <f t="shared" si="11"/>
        <v>562003.79</v>
      </c>
      <c r="AC119" s="13">
        <v>10731947.310000001</v>
      </c>
      <c r="AD119" s="13">
        <v>28182821.899999999</v>
      </c>
      <c r="AE119" s="13">
        <v>8735051.4000000004</v>
      </c>
      <c r="AF119" s="13">
        <f t="shared" si="12"/>
        <v>47649820.609999999</v>
      </c>
      <c r="AG119" s="13">
        <v>0</v>
      </c>
      <c r="AH119" s="13">
        <v>0</v>
      </c>
      <c r="AI119" s="14"/>
      <c r="AJ119" s="13">
        <f t="shared" si="15"/>
        <v>28302074.259999998</v>
      </c>
      <c r="AK119" s="15">
        <f t="shared" si="13"/>
        <v>93706647.530000016</v>
      </c>
      <c r="AL119" s="19">
        <v>0</v>
      </c>
      <c r="AM119" s="8"/>
      <c r="AN119" s="13">
        <f t="shared" si="14"/>
        <v>169658542.40000004</v>
      </c>
    </row>
    <row r="120" spans="2:40" s="17" customFormat="1" x14ac:dyDescent="0.3">
      <c r="B120" s="26">
        <v>42979</v>
      </c>
      <c r="C120" s="13">
        <v>1529671.45</v>
      </c>
      <c r="D120" s="13">
        <v>0</v>
      </c>
      <c r="E120" s="13">
        <v>3382403.89</v>
      </c>
      <c r="F120" s="13">
        <v>370434.6</v>
      </c>
      <c r="G120" s="13">
        <f t="shared" si="9"/>
        <v>5282509.9399999995</v>
      </c>
      <c r="H120" s="13">
        <v>3325130.68</v>
      </c>
      <c r="I120" s="13">
        <v>945159.3</v>
      </c>
      <c r="J120" s="13">
        <v>1042812.1699999999</v>
      </c>
      <c r="K120" s="13">
        <f t="shared" si="10"/>
        <v>10595612.09</v>
      </c>
      <c r="L120" s="13">
        <v>10003359.65</v>
      </c>
      <c r="M120" s="13">
        <v>0</v>
      </c>
      <c r="N120" s="13">
        <v>72736374.859999999</v>
      </c>
      <c r="O120" s="13">
        <v>9348375.7400000002</v>
      </c>
      <c r="P120" s="13">
        <v>257262.98</v>
      </c>
      <c r="Q120" s="13">
        <v>970406.05</v>
      </c>
      <c r="R120" s="13">
        <v>669714.4</v>
      </c>
      <c r="S120" s="13">
        <v>476946.9</v>
      </c>
      <c r="T120" s="13">
        <v>0</v>
      </c>
      <c r="U120" s="13">
        <v>0</v>
      </c>
      <c r="V120" s="13">
        <v>0</v>
      </c>
      <c r="W120" s="13">
        <f t="shared" si="16"/>
        <v>84459080.930000007</v>
      </c>
      <c r="X120" s="13">
        <v>0</v>
      </c>
      <c r="Y120" s="13">
        <v>114927.42</v>
      </c>
      <c r="Z120" s="13">
        <v>411087.4</v>
      </c>
      <c r="AA120" s="13">
        <v>0</v>
      </c>
      <c r="AB120" s="13">
        <f t="shared" si="11"/>
        <v>526014.82000000007</v>
      </c>
      <c r="AC120" s="13">
        <v>10731947.310000001</v>
      </c>
      <c r="AD120" s="13">
        <v>28182821.899999999</v>
      </c>
      <c r="AE120" s="13">
        <v>1402780.18</v>
      </c>
      <c r="AF120" s="13">
        <f t="shared" si="12"/>
        <v>40317549.390000001</v>
      </c>
      <c r="AG120" s="13">
        <v>0</v>
      </c>
      <c r="AH120" s="13">
        <v>0</v>
      </c>
      <c r="AI120" s="14"/>
      <c r="AJ120" s="13">
        <f t="shared" si="15"/>
        <v>20598971.740000002</v>
      </c>
      <c r="AK120" s="15">
        <f t="shared" si="13"/>
        <v>84985095.75</v>
      </c>
      <c r="AL120" s="19">
        <v>-0.59</v>
      </c>
      <c r="AM120" s="8"/>
      <c r="AN120" s="13">
        <f t="shared" si="14"/>
        <v>145901616.28999999</v>
      </c>
    </row>
    <row r="121" spans="2:40" s="17" customFormat="1" x14ac:dyDescent="0.3">
      <c r="B121" s="27">
        <v>43009</v>
      </c>
      <c r="C121" s="13">
        <v>2419395.09</v>
      </c>
      <c r="D121" s="13">
        <v>30052265</v>
      </c>
      <c r="E121" s="13">
        <v>3964296.49</v>
      </c>
      <c r="F121" s="13">
        <v>4487579.22</v>
      </c>
      <c r="G121" s="13">
        <f t="shared" si="9"/>
        <v>40923535.799999997</v>
      </c>
      <c r="H121" s="13">
        <v>2876096.14</v>
      </c>
      <c r="I121" s="13">
        <v>751454.73</v>
      </c>
      <c r="J121" s="13">
        <v>1201978.5700000003</v>
      </c>
      <c r="K121" s="13">
        <f t="shared" si="10"/>
        <v>45753065.239999995</v>
      </c>
      <c r="L121" s="13">
        <v>8170514</v>
      </c>
      <c r="M121" s="13">
        <v>0</v>
      </c>
      <c r="N121" s="13">
        <v>45624417.440000005</v>
      </c>
      <c r="O121" s="13">
        <v>7169578.6200000001</v>
      </c>
      <c r="P121" s="13">
        <v>257262.98</v>
      </c>
      <c r="Q121" s="13">
        <v>0</v>
      </c>
      <c r="R121" s="13">
        <v>706828.35</v>
      </c>
      <c r="S121" s="13">
        <v>488226.9</v>
      </c>
      <c r="T121" s="13">
        <v>0</v>
      </c>
      <c r="U121" s="13">
        <v>0</v>
      </c>
      <c r="V121" s="13">
        <v>2730359.7600000002</v>
      </c>
      <c r="W121" s="13">
        <f t="shared" si="16"/>
        <v>56976674.049999997</v>
      </c>
      <c r="X121" s="13">
        <v>0</v>
      </c>
      <c r="Y121" s="13">
        <v>114927.42</v>
      </c>
      <c r="Z121" s="13">
        <v>447248.14999999991</v>
      </c>
      <c r="AA121" s="13">
        <v>0</v>
      </c>
      <c r="AB121" s="13">
        <f t="shared" si="11"/>
        <v>562175.56999999995</v>
      </c>
      <c r="AC121" s="13">
        <v>10731947.310000001</v>
      </c>
      <c r="AD121" s="13">
        <v>28182821.899999999</v>
      </c>
      <c r="AE121" s="13">
        <v>13576620.859999999</v>
      </c>
      <c r="AF121" s="13">
        <f t="shared" si="12"/>
        <v>52491390.07</v>
      </c>
      <c r="AG121" s="13">
        <v>0</v>
      </c>
      <c r="AH121" s="13">
        <v>0</v>
      </c>
      <c r="AI121" s="14"/>
      <c r="AJ121" s="13">
        <f t="shared" si="15"/>
        <v>53923579.239999995</v>
      </c>
      <c r="AK121" s="15">
        <f t="shared" si="13"/>
        <v>57538849.619999997</v>
      </c>
      <c r="AL121" s="19">
        <v>-20898</v>
      </c>
      <c r="AM121" s="8"/>
      <c r="AN121" s="13">
        <f t="shared" si="14"/>
        <v>163932920.92999998</v>
      </c>
    </row>
    <row r="122" spans="2:40" s="17" customFormat="1" x14ac:dyDescent="0.3">
      <c r="B122" s="28">
        <v>43040</v>
      </c>
      <c r="C122" s="13">
        <v>33795412.460000001</v>
      </c>
      <c r="D122" s="13">
        <v>0</v>
      </c>
      <c r="E122" s="13">
        <v>4549574.8499999996</v>
      </c>
      <c r="F122" s="13">
        <v>96677.89</v>
      </c>
      <c r="G122" s="13">
        <f t="shared" si="9"/>
        <v>38441665.200000003</v>
      </c>
      <c r="H122" s="13">
        <v>3784051.08</v>
      </c>
      <c r="I122" s="13">
        <v>13830629.74</v>
      </c>
      <c r="J122" s="13">
        <v>1083400.69</v>
      </c>
      <c r="K122" s="13">
        <f t="shared" si="10"/>
        <v>57139746.710000001</v>
      </c>
      <c r="L122" s="13">
        <v>0</v>
      </c>
      <c r="M122" s="13">
        <v>0</v>
      </c>
      <c r="N122" s="13">
        <v>67192746.780000001</v>
      </c>
      <c r="O122" s="13">
        <v>3274734.83</v>
      </c>
      <c r="P122" s="13">
        <v>257262.98</v>
      </c>
      <c r="Q122" s="13">
        <v>887534.39</v>
      </c>
      <c r="R122" s="13">
        <v>611549.03</v>
      </c>
      <c r="S122" s="13">
        <v>428038.48</v>
      </c>
      <c r="T122" s="13">
        <v>0</v>
      </c>
      <c r="U122" s="13">
        <v>0</v>
      </c>
      <c r="V122" s="13">
        <v>83148.56</v>
      </c>
      <c r="W122" s="13">
        <f t="shared" si="16"/>
        <v>72735015.050000012</v>
      </c>
      <c r="X122" s="13">
        <v>0</v>
      </c>
      <c r="Y122" s="13">
        <v>114927.42</v>
      </c>
      <c r="Z122" s="13">
        <v>336079.88</v>
      </c>
      <c r="AA122" s="13">
        <v>0</v>
      </c>
      <c r="AB122" s="13">
        <f t="shared" si="11"/>
        <v>451007.3</v>
      </c>
      <c r="AC122" s="13">
        <v>10731947.27</v>
      </c>
      <c r="AD122" s="13">
        <v>28182821.899999999</v>
      </c>
      <c r="AE122" s="13">
        <v>19900000</v>
      </c>
      <c r="AF122" s="13">
        <f t="shared" si="12"/>
        <v>58814769.170000002</v>
      </c>
      <c r="AG122" s="13">
        <v>0</v>
      </c>
      <c r="AH122" s="13">
        <v>0</v>
      </c>
      <c r="AI122" s="14"/>
      <c r="AJ122" s="13">
        <f t="shared" si="15"/>
        <v>57139746.710000001</v>
      </c>
      <c r="AK122" s="15">
        <f t="shared" si="13"/>
        <v>73186022.350000009</v>
      </c>
      <c r="AL122" s="19">
        <v>-273101.95</v>
      </c>
      <c r="AM122" s="8"/>
      <c r="AN122" s="13">
        <f t="shared" si="14"/>
        <v>188867436.28000003</v>
      </c>
    </row>
    <row r="123" spans="2:40" s="17" customFormat="1" x14ac:dyDescent="0.3">
      <c r="B123" s="29">
        <v>43070</v>
      </c>
      <c r="C123" s="13">
        <v>7400602.4500000002</v>
      </c>
      <c r="D123" s="13">
        <v>0</v>
      </c>
      <c r="E123" s="13">
        <v>7701134.6399999997</v>
      </c>
      <c r="F123" s="13">
        <v>548782.82999999996</v>
      </c>
      <c r="G123" s="13">
        <f t="shared" si="9"/>
        <v>15650519.92</v>
      </c>
      <c r="H123" s="13">
        <v>3904900.41</v>
      </c>
      <c r="I123" s="13">
        <v>728503.40999999992</v>
      </c>
      <c r="J123" s="13">
        <v>1283971.5599999996</v>
      </c>
      <c r="K123" s="13">
        <f t="shared" si="10"/>
        <v>21567895.299999997</v>
      </c>
      <c r="L123" s="13">
        <v>3960891</v>
      </c>
      <c r="M123" s="13">
        <v>0</v>
      </c>
      <c r="N123" s="13">
        <v>70135447.620000005</v>
      </c>
      <c r="O123" s="13">
        <v>13073094.289999999</v>
      </c>
      <c r="P123" s="13">
        <v>257262.98</v>
      </c>
      <c r="Q123" s="13">
        <v>986099.32</v>
      </c>
      <c r="R123" s="13">
        <v>1215726.6499999999</v>
      </c>
      <c r="S123" s="13">
        <v>479523.9</v>
      </c>
      <c r="T123" s="13">
        <v>0</v>
      </c>
      <c r="U123" s="13">
        <v>0</v>
      </c>
      <c r="V123" s="13">
        <v>0</v>
      </c>
      <c r="W123" s="13">
        <f t="shared" si="16"/>
        <v>86147154.760000005</v>
      </c>
      <c r="X123" s="13">
        <v>0</v>
      </c>
      <c r="Y123" s="13">
        <v>114927.42</v>
      </c>
      <c r="Z123" s="13">
        <v>458620.41</v>
      </c>
      <c r="AA123" s="13">
        <v>0</v>
      </c>
      <c r="AB123" s="13">
        <f t="shared" si="11"/>
        <v>573547.82999999996</v>
      </c>
      <c r="AC123" s="13">
        <v>0</v>
      </c>
      <c r="AD123" s="13">
        <v>56365644.990000002</v>
      </c>
      <c r="AE123" s="13">
        <f>2575280.18</f>
        <v>2575280.1800000002</v>
      </c>
      <c r="AF123" s="13">
        <f t="shared" si="12"/>
        <v>58940925.170000002</v>
      </c>
      <c r="AG123" s="13">
        <v>0</v>
      </c>
      <c r="AH123" s="13">
        <v>100000000</v>
      </c>
      <c r="AI123" s="14"/>
      <c r="AJ123" s="13">
        <f t="shared" si="15"/>
        <v>25528786.299999997</v>
      </c>
      <c r="AK123" s="15">
        <f t="shared" si="13"/>
        <v>86720702.590000004</v>
      </c>
      <c r="AL123" s="19">
        <v>-162599.59</v>
      </c>
      <c r="AM123" s="8"/>
      <c r="AN123" s="13">
        <f t="shared" si="14"/>
        <v>271027814.47000003</v>
      </c>
    </row>
    <row r="124" spans="2:40" s="17" customFormat="1" x14ac:dyDescent="0.3">
      <c r="B124" s="12">
        <v>43101</v>
      </c>
      <c r="C124" s="13">
        <v>82388733.040000007</v>
      </c>
      <c r="D124" s="13">
        <v>0</v>
      </c>
      <c r="E124" s="13">
        <v>59961875.579999998</v>
      </c>
      <c r="F124" s="13">
        <v>2123432.6500000004</v>
      </c>
      <c r="G124" s="13">
        <f t="shared" si="9"/>
        <v>144474041.27000001</v>
      </c>
      <c r="H124" s="13">
        <v>4882931.09</v>
      </c>
      <c r="I124" s="13">
        <v>473220.61000000004</v>
      </c>
      <c r="J124" s="13">
        <v>1096748.3899999999</v>
      </c>
      <c r="K124" s="13">
        <f t="shared" si="10"/>
        <v>150926941.36000001</v>
      </c>
      <c r="L124" s="13">
        <v>0</v>
      </c>
      <c r="M124" s="13">
        <v>0</v>
      </c>
      <c r="N124" s="13">
        <v>38876150.469999999</v>
      </c>
      <c r="O124" s="13">
        <v>9022102.6899999995</v>
      </c>
      <c r="P124" s="13">
        <v>257262.96999999997</v>
      </c>
      <c r="Q124" s="13">
        <v>1081866.27</v>
      </c>
      <c r="R124" s="13">
        <v>494531.69</v>
      </c>
      <c r="S124" s="13">
        <v>751624.61</v>
      </c>
      <c r="T124" s="13">
        <v>0</v>
      </c>
      <c r="U124" s="13">
        <v>0</v>
      </c>
      <c r="V124" s="13">
        <v>144387.82</v>
      </c>
      <c r="W124" s="13">
        <f t="shared" si="16"/>
        <v>50627926.519999996</v>
      </c>
      <c r="X124" s="13">
        <v>4670.3500000000004</v>
      </c>
      <c r="Y124" s="13">
        <v>127747.21</v>
      </c>
      <c r="Z124" s="13">
        <v>565918.85</v>
      </c>
      <c r="AA124" s="13">
        <v>0</v>
      </c>
      <c r="AB124" s="13">
        <f t="shared" si="11"/>
        <v>698336.40999999992</v>
      </c>
      <c r="AC124" s="13">
        <v>0</v>
      </c>
      <c r="AD124" s="13">
        <v>0</v>
      </c>
      <c r="AE124" s="13">
        <v>0</v>
      </c>
      <c r="AF124" s="13">
        <f t="shared" si="12"/>
        <v>0</v>
      </c>
      <c r="AG124" s="13">
        <v>0</v>
      </c>
      <c r="AH124" s="13">
        <v>0</v>
      </c>
      <c r="AI124" s="14"/>
      <c r="AJ124" s="13">
        <f t="shared" si="15"/>
        <v>150926941.36000001</v>
      </c>
      <c r="AK124" s="15">
        <f t="shared" si="13"/>
        <v>51326262.929999992</v>
      </c>
      <c r="AL124" s="19">
        <v>-170368.71</v>
      </c>
      <c r="AM124" s="8"/>
      <c r="AN124" s="13">
        <f t="shared" si="14"/>
        <v>202082835.58000001</v>
      </c>
    </row>
    <row r="125" spans="2:40" s="17" customFormat="1" x14ac:dyDescent="0.3">
      <c r="B125" s="18">
        <v>43132</v>
      </c>
      <c r="C125" s="13">
        <v>12463732.779999999</v>
      </c>
      <c r="D125" s="13">
        <v>0</v>
      </c>
      <c r="E125" s="13">
        <v>5755486.3700000001</v>
      </c>
      <c r="F125" s="13">
        <v>1028520.02</v>
      </c>
      <c r="G125" s="13">
        <f t="shared" si="9"/>
        <v>19247739.169999998</v>
      </c>
      <c r="H125" s="13">
        <v>3663350.71</v>
      </c>
      <c r="I125" s="13">
        <v>335036.58</v>
      </c>
      <c r="J125" s="13">
        <v>1274376.3199999998</v>
      </c>
      <c r="K125" s="13">
        <f t="shared" si="10"/>
        <v>24520502.779999997</v>
      </c>
      <c r="L125" s="13">
        <v>2155952</v>
      </c>
      <c r="M125" s="13">
        <v>0</v>
      </c>
      <c r="N125" s="13">
        <v>152807632.56999999</v>
      </c>
      <c r="O125" s="13">
        <v>15000164.99</v>
      </c>
      <c r="P125" s="13">
        <v>257262.97</v>
      </c>
      <c r="Q125" s="13">
        <v>1121103.56</v>
      </c>
      <c r="R125" s="13">
        <v>497242.74</v>
      </c>
      <c r="S125" s="13">
        <v>0</v>
      </c>
      <c r="T125" s="13">
        <v>848786.62</v>
      </c>
      <c r="U125" s="13">
        <v>0</v>
      </c>
      <c r="V125" s="13">
        <v>0</v>
      </c>
      <c r="W125" s="13">
        <f t="shared" si="16"/>
        <v>170532193.45000002</v>
      </c>
      <c r="X125" s="13">
        <v>0</v>
      </c>
      <c r="Y125" s="13">
        <v>127747.21</v>
      </c>
      <c r="Z125" s="13">
        <v>825164.02</v>
      </c>
      <c r="AA125" s="13">
        <v>0</v>
      </c>
      <c r="AB125" s="13">
        <f t="shared" si="11"/>
        <v>952911.23</v>
      </c>
      <c r="AC125" s="13">
        <v>12967675.029999999</v>
      </c>
      <c r="AD125" s="13">
        <v>30561034.82</v>
      </c>
      <c r="AE125" s="13">
        <v>0</v>
      </c>
      <c r="AF125" s="13">
        <f t="shared" si="12"/>
        <v>43528709.850000001</v>
      </c>
      <c r="AG125" s="13">
        <v>0</v>
      </c>
      <c r="AH125" s="13">
        <f>213739.07+14.19+66.07</f>
        <v>213819.33000000002</v>
      </c>
      <c r="AI125" s="14"/>
      <c r="AJ125" s="13">
        <f t="shared" si="15"/>
        <v>26676454.779999997</v>
      </c>
      <c r="AK125" s="15">
        <f t="shared" si="13"/>
        <v>171485104.68000001</v>
      </c>
      <c r="AL125" s="19">
        <v>0</v>
      </c>
      <c r="AM125" s="8"/>
      <c r="AN125" s="13">
        <f t="shared" si="14"/>
        <v>241904088.64000002</v>
      </c>
    </row>
    <row r="126" spans="2:40" s="17" customFormat="1" x14ac:dyDescent="0.3">
      <c r="B126" s="20">
        <v>43160</v>
      </c>
      <c r="C126" s="13">
        <v>8490128.2899999991</v>
      </c>
      <c r="D126" s="13">
        <v>0</v>
      </c>
      <c r="E126" s="13">
        <v>3652915.35</v>
      </c>
      <c r="F126" s="13">
        <v>533170.75</v>
      </c>
      <c r="G126" s="13">
        <f t="shared" si="9"/>
        <v>12676214.389999999</v>
      </c>
      <c r="H126" s="13">
        <v>3987269.17</v>
      </c>
      <c r="I126" s="13">
        <v>471984.69</v>
      </c>
      <c r="J126" s="13">
        <v>1541174.5199999996</v>
      </c>
      <c r="K126" s="13">
        <f t="shared" si="10"/>
        <v>18676642.77</v>
      </c>
      <c r="L126" s="13">
        <v>14691301</v>
      </c>
      <c r="M126" s="13">
        <v>0</v>
      </c>
      <c r="N126" s="13">
        <v>82870308.269999996</v>
      </c>
      <c r="O126" s="13">
        <v>9888676.9500000011</v>
      </c>
      <c r="P126" s="13">
        <v>257262.97</v>
      </c>
      <c r="Q126" s="13">
        <v>1117760.3500000001</v>
      </c>
      <c r="R126" s="13">
        <v>729058.99</v>
      </c>
      <c r="S126" s="13">
        <v>1686163.72</v>
      </c>
      <c r="T126" s="13">
        <v>-848786.62</v>
      </c>
      <c r="U126" s="13">
        <v>0</v>
      </c>
      <c r="V126" s="13">
        <v>5027891.17</v>
      </c>
      <c r="W126" s="13">
        <f t="shared" si="16"/>
        <v>100728335.79999998</v>
      </c>
      <c r="X126" s="13">
        <v>0</v>
      </c>
      <c r="Y126" s="13">
        <v>127747.21</v>
      </c>
      <c r="Z126" s="13">
        <v>521168.38</v>
      </c>
      <c r="AA126" s="13">
        <v>0</v>
      </c>
      <c r="AB126" s="13">
        <f t="shared" si="11"/>
        <v>648915.59</v>
      </c>
      <c r="AC126" s="13">
        <v>12967675.029999999</v>
      </c>
      <c r="AD126" s="13">
        <v>30561034.82</v>
      </c>
      <c r="AE126" s="13">
        <v>0</v>
      </c>
      <c r="AF126" s="13">
        <f t="shared" si="12"/>
        <v>43528709.850000001</v>
      </c>
      <c r="AG126" s="13">
        <v>0</v>
      </c>
      <c r="AH126" s="13">
        <v>86771.44</v>
      </c>
      <c r="AI126" s="14"/>
      <c r="AJ126" s="13">
        <f t="shared" si="15"/>
        <v>33367943.77</v>
      </c>
      <c r="AK126" s="15">
        <f t="shared" si="13"/>
        <v>101377251.38999999</v>
      </c>
      <c r="AL126" s="19">
        <v>-4466.42</v>
      </c>
      <c r="AM126" s="8"/>
      <c r="AN126" s="13">
        <f t="shared" si="14"/>
        <v>178356210.03</v>
      </c>
    </row>
    <row r="127" spans="2:40" s="17" customFormat="1" x14ac:dyDescent="0.3">
      <c r="B127" s="21">
        <v>43191</v>
      </c>
      <c r="C127" s="13">
        <v>4455155.5599999996</v>
      </c>
      <c r="D127" s="13">
        <v>0</v>
      </c>
      <c r="E127" s="13">
        <v>5488178.1500000004</v>
      </c>
      <c r="F127" s="13">
        <v>488035.76</v>
      </c>
      <c r="G127" s="13">
        <f t="shared" si="9"/>
        <v>10431369.470000001</v>
      </c>
      <c r="H127" s="13">
        <v>4264095.1100000003</v>
      </c>
      <c r="I127" s="13">
        <v>1150970.49</v>
      </c>
      <c r="J127" s="13">
        <v>1331643.5799999982</v>
      </c>
      <c r="K127" s="13">
        <f t="shared" si="10"/>
        <v>17178078.649999999</v>
      </c>
      <c r="L127" s="13">
        <v>27918875</v>
      </c>
      <c r="M127" s="13">
        <v>0</v>
      </c>
      <c r="N127" s="13">
        <v>33148123.300000001</v>
      </c>
      <c r="O127" s="13">
        <v>0</v>
      </c>
      <c r="P127" s="13">
        <v>0</v>
      </c>
      <c r="Q127" s="13">
        <v>977785.49</v>
      </c>
      <c r="R127" s="13">
        <v>0</v>
      </c>
      <c r="S127" s="13">
        <v>775958.85</v>
      </c>
      <c r="T127" s="13">
        <v>0</v>
      </c>
      <c r="U127" s="13">
        <v>0</v>
      </c>
      <c r="V127" s="13">
        <v>0</v>
      </c>
      <c r="W127" s="13">
        <f t="shared" si="16"/>
        <v>34901867.640000001</v>
      </c>
      <c r="X127" s="13">
        <v>0</v>
      </c>
      <c r="Y127" s="13">
        <v>0</v>
      </c>
      <c r="Z127" s="13">
        <v>459677.67</v>
      </c>
      <c r="AA127" s="13">
        <v>0</v>
      </c>
      <c r="AB127" s="13">
        <f t="shared" si="11"/>
        <v>459677.67</v>
      </c>
      <c r="AC127" s="13">
        <v>12967675.029999999</v>
      </c>
      <c r="AD127" s="13">
        <v>30561034.82</v>
      </c>
      <c r="AE127" s="13">
        <v>0</v>
      </c>
      <c r="AF127" s="13">
        <f t="shared" si="12"/>
        <v>43528709.850000001</v>
      </c>
      <c r="AG127" s="13">
        <v>0</v>
      </c>
      <c r="AH127" s="13">
        <f>70113.78+314.18+120.29+432.4</f>
        <v>70980.64999999998</v>
      </c>
      <c r="AI127" s="14"/>
      <c r="AJ127" s="13">
        <f t="shared" si="15"/>
        <v>45096953.649999999</v>
      </c>
      <c r="AK127" s="15">
        <f t="shared" si="13"/>
        <v>35361545.310000002</v>
      </c>
      <c r="AL127" s="19">
        <v>-2401</v>
      </c>
      <c r="AM127" s="8"/>
      <c r="AN127" s="13">
        <f t="shared" si="14"/>
        <v>124055788.46000001</v>
      </c>
    </row>
    <row r="128" spans="2:40" s="17" customFormat="1" x14ac:dyDescent="0.3">
      <c r="B128" s="22">
        <v>43221</v>
      </c>
      <c r="C128" s="13">
        <v>4068097.9</v>
      </c>
      <c r="D128" s="13">
        <v>0</v>
      </c>
      <c r="E128" s="13">
        <v>5953960.4100000001</v>
      </c>
      <c r="F128" s="13">
        <v>487807.91000000003</v>
      </c>
      <c r="G128" s="13">
        <f t="shared" si="9"/>
        <v>10509866.220000001</v>
      </c>
      <c r="H128" s="13">
        <v>3992247.62</v>
      </c>
      <c r="I128" s="13">
        <v>5379588.0099999998</v>
      </c>
      <c r="J128" s="13">
        <v>1088163.8600000003</v>
      </c>
      <c r="K128" s="13">
        <f t="shared" si="10"/>
        <v>20969865.710000001</v>
      </c>
      <c r="L128" s="13">
        <v>6462315</v>
      </c>
      <c r="M128" s="13">
        <v>0</v>
      </c>
      <c r="N128" s="13">
        <v>170335939.66999999</v>
      </c>
      <c r="O128" s="13">
        <v>11422971.140000001</v>
      </c>
      <c r="P128" s="13">
        <v>514525.94</v>
      </c>
      <c r="Q128" s="13">
        <v>1115605.83</v>
      </c>
      <c r="R128" s="13">
        <v>1173240.57</v>
      </c>
      <c r="S128" s="13">
        <v>862511.83</v>
      </c>
      <c r="T128" s="13">
        <v>0</v>
      </c>
      <c r="U128" s="13">
        <v>0</v>
      </c>
      <c r="V128" s="13">
        <v>368556.95999999996</v>
      </c>
      <c r="W128" s="13">
        <f t="shared" si="16"/>
        <v>185793351.94000003</v>
      </c>
      <c r="X128" s="13">
        <v>0</v>
      </c>
      <c r="Y128" s="13">
        <v>255494.42</v>
      </c>
      <c r="Z128" s="13">
        <v>542473.29</v>
      </c>
      <c r="AA128" s="13">
        <v>0</v>
      </c>
      <c r="AB128" s="13">
        <f t="shared" si="11"/>
        <v>797967.71000000008</v>
      </c>
      <c r="AC128" s="13">
        <v>12967675.029999999</v>
      </c>
      <c r="AD128" s="13">
        <v>61122069.640000001</v>
      </c>
      <c r="AE128" s="13">
        <v>0</v>
      </c>
      <c r="AF128" s="13">
        <f t="shared" si="12"/>
        <v>74089744.670000002</v>
      </c>
      <c r="AG128" s="13">
        <v>0</v>
      </c>
      <c r="AH128" s="13">
        <v>20681786.600000001</v>
      </c>
      <c r="AI128" s="14"/>
      <c r="AJ128" s="13">
        <f t="shared" si="15"/>
        <v>27432180.710000001</v>
      </c>
      <c r="AK128" s="15">
        <f t="shared" si="13"/>
        <v>186591319.65000004</v>
      </c>
      <c r="AL128" s="19">
        <v>-17263.32</v>
      </c>
      <c r="AM128" s="8"/>
      <c r="AN128" s="13">
        <f t="shared" si="14"/>
        <v>308777768.31000006</v>
      </c>
    </row>
    <row r="129" spans="2:40" s="17" customFormat="1" x14ac:dyDescent="0.3">
      <c r="B129" s="23">
        <v>43252</v>
      </c>
      <c r="C129" s="13">
        <v>3086820.9</v>
      </c>
      <c r="D129" s="13">
        <v>29279214</v>
      </c>
      <c r="E129" s="13">
        <v>6572431.5300000003</v>
      </c>
      <c r="F129" s="13">
        <v>50275.920000001788</v>
      </c>
      <c r="G129" s="13">
        <f t="shared" si="9"/>
        <v>38988742.350000001</v>
      </c>
      <c r="H129" s="13">
        <v>3789562.61</v>
      </c>
      <c r="I129" s="13">
        <v>578336.19000000006</v>
      </c>
      <c r="J129" s="13">
        <v>944069.69</v>
      </c>
      <c r="K129" s="13">
        <f t="shared" si="10"/>
        <v>44300710.839999996</v>
      </c>
      <c r="L129" s="13">
        <v>0</v>
      </c>
      <c r="M129" s="13">
        <v>0</v>
      </c>
      <c r="N129" s="13">
        <v>102762967.12</v>
      </c>
      <c r="O129" s="13">
        <v>23650142.390000001</v>
      </c>
      <c r="P129" s="13">
        <v>257262.97</v>
      </c>
      <c r="Q129" s="13">
        <v>1108441.5899999999</v>
      </c>
      <c r="R129" s="13">
        <v>158392.53</v>
      </c>
      <c r="S129" s="13">
        <v>859114.55</v>
      </c>
      <c r="T129" s="13">
        <v>0</v>
      </c>
      <c r="U129" s="13">
        <v>0</v>
      </c>
      <c r="V129" s="13">
        <v>18185183.52</v>
      </c>
      <c r="W129" s="13">
        <f t="shared" si="16"/>
        <v>146981504.67000002</v>
      </c>
      <c r="X129" s="13">
        <v>0</v>
      </c>
      <c r="Y129" s="13">
        <v>127747.21</v>
      </c>
      <c r="Z129" s="13">
        <v>503629.37</v>
      </c>
      <c r="AA129" s="13">
        <v>0</v>
      </c>
      <c r="AB129" s="13">
        <f t="shared" si="11"/>
        <v>631376.57999999996</v>
      </c>
      <c r="AC129" s="13">
        <v>12967675.029999999</v>
      </c>
      <c r="AD129" s="13">
        <v>30561034.82</v>
      </c>
      <c r="AE129" s="13">
        <v>0</v>
      </c>
      <c r="AF129" s="13">
        <f t="shared" si="12"/>
        <v>43528709.850000001</v>
      </c>
      <c r="AG129" s="13">
        <v>0</v>
      </c>
      <c r="AH129" s="13">
        <v>0</v>
      </c>
      <c r="AI129" s="14"/>
      <c r="AJ129" s="13">
        <f t="shared" si="15"/>
        <v>44300710.839999996</v>
      </c>
      <c r="AK129" s="15">
        <f t="shared" si="13"/>
        <v>147612881.25000003</v>
      </c>
      <c r="AL129" s="19">
        <v>-582</v>
      </c>
      <c r="AM129" s="8"/>
      <c r="AN129" s="13">
        <f t="shared" si="14"/>
        <v>235441719.94000003</v>
      </c>
    </row>
    <row r="130" spans="2:40" s="17" customFormat="1" x14ac:dyDescent="0.3">
      <c r="B130" s="24">
        <v>43282</v>
      </c>
      <c r="C130" s="13">
        <v>3110528.25</v>
      </c>
      <c r="D130" s="13">
        <v>0</v>
      </c>
      <c r="E130" s="13">
        <v>6535703.1799999997</v>
      </c>
      <c r="F130" s="13">
        <v>92641.600000000006</v>
      </c>
      <c r="G130" s="13">
        <f t="shared" si="9"/>
        <v>9738873.0299999993</v>
      </c>
      <c r="H130" s="13">
        <v>3510802.79</v>
      </c>
      <c r="I130" s="13">
        <v>1585344.3900000001</v>
      </c>
      <c r="J130" s="13">
        <v>1240093.56</v>
      </c>
      <c r="K130" s="13">
        <f t="shared" si="10"/>
        <v>16075113.770000001</v>
      </c>
      <c r="L130" s="13">
        <v>0</v>
      </c>
      <c r="M130" s="13">
        <v>0</v>
      </c>
      <c r="N130" s="13">
        <v>93454679.689999998</v>
      </c>
      <c r="O130" s="13">
        <v>11535202.220000001</v>
      </c>
      <c r="P130" s="13">
        <v>257262.96999999997</v>
      </c>
      <c r="Q130" s="13">
        <v>1144214.26</v>
      </c>
      <c r="R130" s="13">
        <v>640987.68999999994</v>
      </c>
      <c r="S130" s="13">
        <v>853206.48</v>
      </c>
      <c r="T130" s="13">
        <v>0</v>
      </c>
      <c r="U130" s="13">
        <v>0</v>
      </c>
      <c r="V130" s="13">
        <v>307373.51</v>
      </c>
      <c r="W130" s="13">
        <f t="shared" si="16"/>
        <v>108192926.82000001</v>
      </c>
      <c r="X130" s="13">
        <v>821.24</v>
      </c>
      <c r="Y130" s="13">
        <v>127747.21</v>
      </c>
      <c r="Z130" s="13">
        <v>590801.23</v>
      </c>
      <c r="AA130" s="13">
        <v>0</v>
      </c>
      <c r="AB130" s="13">
        <f t="shared" si="11"/>
        <v>719369.67999999993</v>
      </c>
      <c r="AC130" s="13">
        <v>12967675.029999999</v>
      </c>
      <c r="AD130" s="13">
        <v>30561034.82</v>
      </c>
      <c r="AE130" s="13">
        <v>200000</v>
      </c>
      <c r="AF130" s="13">
        <f t="shared" si="12"/>
        <v>43728709.850000001</v>
      </c>
      <c r="AG130" s="13">
        <v>0</v>
      </c>
      <c r="AH130" s="13">
        <v>0</v>
      </c>
      <c r="AI130" s="14"/>
      <c r="AJ130" s="13">
        <f t="shared" si="15"/>
        <v>16075113.770000001</v>
      </c>
      <c r="AK130" s="15">
        <f t="shared" si="13"/>
        <v>108912296.50000001</v>
      </c>
      <c r="AL130" s="19">
        <v>-92401.66</v>
      </c>
      <c r="AM130" s="8"/>
      <c r="AN130" s="13">
        <f t="shared" si="14"/>
        <v>168623718.46000001</v>
      </c>
    </row>
    <row r="131" spans="2:40" s="17" customFormat="1" x14ac:dyDescent="0.3">
      <c r="B131" s="25">
        <v>43313</v>
      </c>
      <c r="C131" s="13">
        <v>3098019.25</v>
      </c>
      <c r="D131" s="13">
        <v>0</v>
      </c>
      <c r="E131" s="13">
        <v>3390580.7</v>
      </c>
      <c r="F131" s="13">
        <v>276390.71999999997</v>
      </c>
      <c r="G131" s="13">
        <f t="shared" si="9"/>
        <v>6764990.6699999999</v>
      </c>
      <c r="H131" s="13">
        <v>4236237.34</v>
      </c>
      <c r="I131" s="13">
        <v>557979.41999999993</v>
      </c>
      <c r="J131" s="13">
        <v>938266.7</v>
      </c>
      <c r="K131" s="13">
        <f t="shared" si="10"/>
        <v>12497474.129999999</v>
      </c>
      <c r="L131" s="13">
        <v>574298</v>
      </c>
      <c r="M131" s="13">
        <v>0</v>
      </c>
      <c r="N131" s="13">
        <v>102853803.77</v>
      </c>
      <c r="O131" s="13">
        <v>13338762.33</v>
      </c>
      <c r="P131" s="13">
        <v>257262.97</v>
      </c>
      <c r="Q131" s="13">
        <v>1204781.45</v>
      </c>
      <c r="R131" s="13">
        <v>668951.46</v>
      </c>
      <c r="S131" s="13">
        <v>784700.7</v>
      </c>
      <c r="T131" s="13">
        <v>0</v>
      </c>
      <c r="U131" s="13">
        <v>0</v>
      </c>
      <c r="V131" s="13">
        <v>0</v>
      </c>
      <c r="W131" s="13">
        <f t="shared" si="16"/>
        <v>119108262.67999999</v>
      </c>
      <c r="X131" s="13">
        <v>0</v>
      </c>
      <c r="Y131" s="13">
        <v>127747.21</v>
      </c>
      <c r="Z131" s="13">
        <v>347674.22</v>
      </c>
      <c r="AA131" s="13">
        <v>0</v>
      </c>
      <c r="AB131" s="13">
        <f t="shared" si="11"/>
        <v>475421.43</v>
      </c>
      <c r="AC131" s="13">
        <v>12967675.029999999</v>
      </c>
      <c r="AD131" s="13">
        <v>30561034.82</v>
      </c>
      <c r="AE131" s="13">
        <v>8931551.6199999992</v>
      </c>
      <c r="AF131" s="13">
        <f t="shared" si="12"/>
        <v>52460261.469999999</v>
      </c>
      <c r="AG131" s="13">
        <v>0</v>
      </c>
      <c r="AH131" s="13">
        <v>0</v>
      </c>
      <c r="AI131" s="14"/>
      <c r="AJ131" s="13">
        <f t="shared" si="15"/>
        <v>13071772.129999999</v>
      </c>
      <c r="AK131" s="15">
        <f t="shared" si="13"/>
        <v>119583684.11</v>
      </c>
      <c r="AL131" s="19">
        <v>-1507328.78</v>
      </c>
      <c r="AM131" s="8"/>
      <c r="AN131" s="13">
        <f t="shared" si="14"/>
        <v>183608388.92999998</v>
      </c>
    </row>
    <row r="132" spans="2:40" s="17" customFormat="1" x14ac:dyDescent="0.3">
      <c r="B132" s="26">
        <v>43344</v>
      </c>
      <c r="C132" s="13">
        <v>3626685.72</v>
      </c>
      <c r="D132" s="13">
        <v>0</v>
      </c>
      <c r="E132" s="13">
        <v>5677788.2699999996</v>
      </c>
      <c r="F132" s="13">
        <v>309954.14</v>
      </c>
      <c r="G132" s="13">
        <f t="shared" ref="G132:G158" si="17">SUM(C132:F132)</f>
        <v>9614428.1300000008</v>
      </c>
      <c r="H132" s="13">
        <v>11264706.18</v>
      </c>
      <c r="I132" s="13">
        <v>743904</v>
      </c>
      <c r="J132" s="13">
        <v>729242.55</v>
      </c>
      <c r="K132" s="13">
        <f t="shared" si="10"/>
        <v>22352280.860000003</v>
      </c>
      <c r="L132" s="13">
        <v>1218291</v>
      </c>
      <c r="M132" s="13">
        <v>0</v>
      </c>
      <c r="N132" s="13">
        <v>82695910.400000006</v>
      </c>
      <c r="O132" s="13">
        <v>9463210.7400000002</v>
      </c>
      <c r="P132" s="13">
        <v>257262.97</v>
      </c>
      <c r="Q132" s="13">
        <v>965962.64</v>
      </c>
      <c r="R132" s="13">
        <v>569409.44999999995</v>
      </c>
      <c r="S132" s="13">
        <v>808254.27</v>
      </c>
      <c r="T132" s="13">
        <v>0</v>
      </c>
      <c r="U132" s="13">
        <v>0</v>
      </c>
      <c r="V132" s="13">
        <v>0</v>
      </c>
      <c r="W132" s="13">
        <f t="shared" ref="W132:W142" si="18">SUM(M132:V132)</f>
        <v>94760010.469999999</v>
      </c>
      <c r="X132" s="13">
        <v>0</v>
      </c>
      <c r="Y132" s="13">
        <v>127747.21</v>
      </c>
      <c r="Z132" s="13">
        <v>643697.92000000004</v>
      </c>
      <c r="AA132" s="13">
        <v>0</v>
      </c>
      <c r="AB132" s="13">
        <f t="shared" si="11"/>
        <v>771445.13</v>
      </c>
      <c r="AC132" s="13">
        <v>25935350.059999999</v>
      </c>
      <c r="AD132" s="13">
        <v>30561034.82</v>
      </c>
      <c r="AE132" s="13">
        <v>-54000</v>
      </c>
      <c r="AF132" s="13">
        <f t="shared" si="12"/>
        <v>56442384.879999995</v>
      </c>
      <c r="AG132" s="13">
        <v>0</v>
      </c>
      <c r="AH132" s="13">
        <v>0</v>
      </c>
      <c r="AI132" s="14"/>
      <c r="AJ132" s="13">
        <f t="shared" si="15"/>
        <v>23570571.860000003</v>
      </c>
      <c r="AK132" s="15">
        <f t="shared" si="13"/>
        <v>95531455.599999994</v>
      </c>
      <c r="AL132" s="19">
        <v>-3889081.58</v>
      </c>
      <c r="AM132" s="8"/>
      <c r="AN132" s="13">
        <f t="shared" si="14"/>
        <v>171655330.75999996</v>
      </c>
    </row>
    <row r="133" spans="2:40" s="17" customFormat="1" x14ac:dyDescent="0.3">
      <c r="B133" s="30">
        <v>43374</v>
      </c>
      <c r="C133" s="31">
        <v>2981010.54</v>
      </c>
      <c r="D133" s="32">
        <v>0</v>
      </c>
      <c r="E133" s="31">
        <v>9564541.3699999992</v>
      </c>
      <c r="F133" s="31">
        <v>1104642.8199999998</v>
      </c>
      <c r="G133" s="31">
        <f t="shared" si="17"/>
        <v>13650194.73</v>
      </c>
      <c r="H133" s="31">
        <v>3051909.24</v>
      </c>
      <c r="I133" s="31">
        <v>731011.10000000009</v>
      </c>
      <c r="J133" s="31">
        <v>1492832.39</v>
      </c>
      <c r="K133" s="31">
        <f t="shared" ref="K133:K159" si="19">SUM(G133:J133)</f>
        <v>18925947.460000001</v>
      </c>
      <c r="L133" s="31">
        <v>0</v>
      </c>
      <c r="M133" s="31">
        <v>0</v>
      </c>
      <c r="N133" s="31">
        <v>65397128.490000002</v>
      </c>
      <c r="O133" s="31">
        <v>3983718.08</v>
      </c>
      <c r="P133" s="31">
        <v>257262.96999999997</v>
      </c>
      <c r="Q133" s="31">
        <v>1104097.1200000001</v>
      </c>
      <c r="R133" s="31">
        <v>769376.83000000007</v>
      </c>
      <c r="S133" s="31">
        <v>806435.88</v>
      </c>
      <c r="T133" s="31">
        <v>0</v>
      </c>
      <c r="U133" s="31">
        <v>0</v>
      </c>
      <c r="V133" s="31">
        <v>1320568.33</v>
      </c>
      <c r="W133" s="31">
        <f t="shared" si="18"/>
        <v>73638587.700000003</v>
      </c>
      <c r="X133" s="31">
        <v>0</v>
      </c>
      <c r="Y133" s="31">
        <v>127747.21</v>
      </c>
      <c r="Z133" s="31">
        <v>521517.99</v>
      </c>
      <c r="AA133" s="31">
        <v>0</v>
      </c>
      <c r="AB133" s="31">
        <f t="shared" ref="AB133:AB159" si="20">SUM(X133:AA133)</f>
        <v>649265.19999999995</v>
      </c>
      <c r="AC133" s="31">
        <v>12967675.060000001</v>
      </c>
      <c r="AD133" s="31">
        <v>30561034.82</v>
      </c>
      <c r="AE133" s="31">
        <v>0</v>
      </c>
      <c r="AF133" s="31">
        <f t="shared" ref="AF133:AF159" si="21">SUM(AC133:AE133)</f>
        <v>43528709.880000003</v>
      </c>
      <c r="AG133" s="31">
        <v>0</v>
      </c>
      <c r="AH133" s="31">
        <v>0</v>
      </c>
      <c r="AI133" s="32"/>
      <c r="AJ133" s="31">
        <f t="shared" si="15"/>
        <v>18925947.460000001</v>
      </c>
      <c r="AK133" s="33">
        <f t="shared" ref="AK133:AK162" si="22">W133+AB133</f>
        <v>74287852.900000006</v>
      </c>
      <c r="AL133" s="34">
        <v>0</v>
      </c>
      <c r="AM133" s="8"/>
      <c r="AN133" s="31">
        <f t="shared" ref="AN133:AN158" si="23">AJ133+AK133+AF133+AG133+AH133+AL133</f>
        <v>136742510.24000001</v>
      </c>
    </row>
    <row r="134" spans="2:40" s="17" customFormat="1" x14ac:dyDescent="0.3">
      <c r="B134" s="35">
        <v>43405</v>
      </c>
      <c r="C134" s="31">
        <v>3911023.32</v>
      </c>
      <c r="D134" s="31">
        <v>0</v>
      </c>
      <c r="E134" s="31">
        <v>5789837.8600000003</v>
      </c>
      <c r="F134" s="31">
        <v>65610.149999999994</v>
      </c>
      <c r="G134" s="31">
        <f t="shared" si="17"/>
        <v>9766471.3300000001</v>
      </c>
      <c r="H134" s="31">
        <v>3422508.23</v>
      </c>
      <c r="I134" s="31">
        <v>1643908.07</v>
      </c>
      <c r="J134" s="31">
        <v>954525.54999999981</v>
      </c>
      <c r="K134" s="31">
        <f t="shared" si="19"/>
        <v>15787413.18</v>
      </c>
      <c r="L134" s="31">
        <v>4794252</v>
      </c>
      <c r="M134" s="31">
        <v>0</v>
      </c>
      <c r="N134" s="31">
        <v>89456564.989999995</v>
      </c>
      <c r="O134" s="31">
        <v>10710394.77</v>
      </c>
      <c r="P134" s="31">
        <v>257262.97</v>
      </c>
      <c r="Q134" s="31">
        <v>971497.06</v>
      </c>
      <c r="R134" s="31">
        <v>780648.59</v>
      </c>
      <c r="S134" s="31">
        <v>664522.6</v>
      </c>
      <c r="T134" s="31">
        <v>0</v>
      </c>
      <c r="U134" s="31">
        <v>0</v>
      </c>
      <c r="V134" s="31">
        <v>0</v>
      </c>
      <c r="W134" s="31">
        <f t="shared" si="18"/>
        <v>102840890.97999999</v>
      </c>
      <c r="X134" s="31">
        <v>0</v>
      </c>
      <c r="Y134" s="31">
        <v>127747.21</v>
      </c>
      <c r="Z134" s="31">
        <v>484210.33</v>
      </c>
      <c r="AA134" s="31">
        <v>0</v>
      </c>
      <c r="AB134" s="31">
        <f t="shared" si="20"/>
        <v>611957.54</v>
      </c>
      <c r="AC134" s="31">
        <v>0</v>
      </c>
      <c r="AD134" s="31">
        <v>0</v>
      </c>
      <c r="AE134" s="31">
        <v>0</v>
      </c>
      <c r="AF134" s="31">
        <f t="shared" si="21"/>
        <v>0</v>
      </c>
      <c r="AG134" s="31">
        <v>0</v>
      </c>
      <c r="AH134" s="31">
        <v>0</v>
      </c>
      <c r="AI134" s="32"/>
      <c r="AJ134" s="31">
        <f t="shared" ref="AJ134:AJ152" si="24">K134+L134</f>
        <v>20581665.18</v>
      </c>
      <c r="AK134" s="33">
        <f t="shared" si="22"/>
        <v>103452848.52</v>
      </c>
      <c r="AL134" s="34">
        <v>0</v>
      </c>
      <c r="AM134" s="8"/>
      <c r="AN134" s="31">
        <f t="shared" si="23"/>
        <v>124034513.69999999</v>
      </c>
    </row>
    <row r="135" spans="2:40" s="17" customFormat="1" x14ac:dyDescent="0.3">
      <c r="B135" s="36">
        <v>43435</v>
      </c>
      <c r="C135" s="31">
        <v>12461074.199999999</v>
      </c>
      <c r="D135" s="31">
        <v>0</v>
      </c>
      <c r="E135" s="31">
        <v>9451698.0399999991</v>
      </c>
      <c r="F135" s="31">
        <v>63938.73</v>
      </c>
      <c r="G135" s="31">
        <f t="shared" si="17"/>
        <v>21976710.969999999</v>
      </c>
      <c r="H135" s="31">
        <v>3487879.15</v>
      </c>
      <c r="I135" s="31">
        <v>19112402.990000002</v>
      </c>
      <c r="J135" s="31">
        <v>1593512.1099999994</v>
      </c>
      <c r="K135" s="31">
        <f t="shared" si="19"/>
        <v>46170505.219999999</v>
      </c>
      <c r="L135" s="31">
        <v>40163421</v>
      </c>
      <c r="M135" s="31">
        <v>0</v>
      </c>
      <c r="N135" s="31">
        <v>111453714.20999999</v>
      </c>
      <c r="O135" s="31">
        <v>10140928.140000001</v>
      </c>
      <c r="P135" s="31">
        <v>257262.97</v>
      </c>
      <c r="Q135" s="31">
        <v>1141820.3899999999</v>
      </c>
      <c r="R135" s="31">
        <v>760492.55</v>
      </c>
      <c r="S135" s="31">
        <v>778098.22</v>
      </c>
      <c r="T135" s="31">
        <v>0</v>
      </c>
      <c r="U135" s="31">
        <v>0</v>
      </c>
      <c r="V135" s="31">
        <v>0</v>
      </c>
      <c r="W135" s="31">
        <f t="shared" si="18"/>
        <v>124532316.47999999</v>
      </c>
      <c r="X135" s="31">
        <v>0</v>
      </c>
      <c r="Y135" s="31">
        <v>127747.21</v>
      </c>
      <c r="Z135" s="31">
        <v>551719.78</v>
      </c>
      <c r="AA135" s="31">
        <v>0</v>
      </c>
      <c r="AB135" s="31">
        <f t="shared" si="20"/>
        <v>679466.99</v>
      </c>
      <c r="AC135" s="31">
        <v>0</v>
      </c>
      <c r="AD135" s="31">
        <v>61122068.829999998</v>
      </c>
      <c r="AE135" s="31">
        <v>-634999.80000000005</v>
      </c>
      <c r="AF135" s="31">
        <f t="shared" si="21"/>
        <v>60487069.030000001</v>
      </c>
      <c r="AG135" s="31">
        <v>0</v>
      </c>
      <c r="AH135" s="31">
        <f>105200000</f>
        <v>105200000</v>
      </c>
      <c r="AI135" s="32"/>
      <c r="AJ135" s="31">
        <f t="shared" si="24"/>
        <v>86333926.219999999</v>
      </c>
      <c r="AK135" s="33">
        <f t="shared" si="22"/>
        <v>125211783.46999998</v>
      </c>
      <c r="AL135" s="34">
        <v>149152213.81999999</v>
      </c>
      <c r="AM135" s="8"/>
      <c r="AN135" s="31">
        <f t="shared" si="23"/>
        <v>526384992.54000002</v>
      </c>
    </row>
    <row r="136" spans="2:40" s="17" customFormat="1" x14ac:dyDescent="0.3">
      <c r="B136" s="37">
        <v>43466</v>
      </c>
      <c r="C136" s="31">
        <v>93051873.959999993</v>
      </c>
      <c r="D136" s="31">
        <v>0</v>
      </c>
      <c r="E136" s="31">
        <v>3753547.78</v>
      </c>
      <c r="F136" s="31">
        <v>1663766.21</v>
      </c>
      <c r="G136" s="31">
        <f t="shared" si="17"/>
        <v>98469187.949999988</v>
      </c>
      <c r="H136" s="31">
        <v>8477463.7400000002</v>
      </c>
      <c r="I136" s="31">
        <v>768384.52999999991</v>
      </c>
      <c r="J136" s="31">
        <v>1739104.0700000003</v>
      </c>
      <c r="K136" s="31">
        <f t="shared" si="19"/>
        <v>109454140.28999999</v>
      </c>
      <c r="L136" s="31">
        <v>11318566</v>
      </c>
      <c r="M136" s="31">
        <v>0</v>
      </c>
      <c r="N136" s="31">
        <v>83836234.680000007</v>
      </c>
      <c r="O136" s="31">
        <v>9332520.7200000007</v>
      </c>
      <c r="P136" s="31">
        <v>542639.56000000006</v>
      </c>
      <c r="Q136" s="31">
        <v>1091193.19</v>
      </c>
      <c r="R136" s="31">
        <v>636937.30000000005</v>
      </c>
      <c r="S136" s="31">
        <v>735484.42</v>
      </c>
      <c r="T136" s="31">
        <v>0</v>
      </c>
      <c r="U136" s="31">
        <v>0</v>
      </c>
      <c r="V136" s="31">
        <v>0</v>
      </c>
      <c r="W136" s="31">
        <f t="shared" si="18"/>
        <v>96175009.870000005</v>
      </c>
      <c r="X136" s="31">
        <v>0</v>
      </c>
      <c r="Y136" s="31">
        <v>130802.65</v>
      </c>
      <c r="Z136" s="31">
        <v>694224.26</v>
      </c>
      <c r="AA136" s="31">
        <v>0</v>
      </c>
      <c r="AB136" s="31">
        <f t="shared" si="20"/>
        <v>825026.91</v>
      </c>
      <c r="AC136" s="31">
        <v>15809353.84</v>
      </c>
      <c r="AD136" s="31">
        <v>34671916.240000002</v>
      </c>
      <c r="AE136" s="31">
        <v>0</v>
      </c>
      <c r="AF136" s="31">
        <f t="shared" si="21"/>
        <v>50481270.079999998</v>
      </c>
      <c r="AG136" s="31">
        <v>0</v>
      </c>
      <c r="AH136" s="31">
        <v>0</v>
      </c>
      <c r="AI136" s="32"/>
      <c r="AJ136" s="31">
        <f t="shared" si="24"/>
        <v>120772706.28999999</v>
      </c>
      <c r="AK136" s="33">
        <f t="shared" si="22"/>
        <v>97000036.780000001</v>
      </c>
      <c r="AL136" s="34">
        <v>-34560.949999999997</v>
      </c>
      <c r="AM136" s="8"/>
      <c r="AN136" s="31">
        <f t="shared" si="23"/>
        <v>268219452.19999999</v>
      </c>
    </row>
    <row r="137" spans="2:40" s="17" customFormat="1" x14ac:dyDescent="0.3">
      <c r="B137" s="38">
        <v>43497</v>
      </c>
      <c r="C137" s="31">
        <v>11894838.07</v>
      </c>
      <c r="D137" s="31">
        <v>0</v>
      </c>
      <c r="E137" s="31">
        <v>6161170.0300000003</v>
      </c>
      <c r="F137" s="31">
        <v>720762.47</v>
      </c>
      <c r="G137" s="31">
        <f t="shared" si="17"/>
        <v>18776770.57</v>
      </c>
      <c r="H137" s="31">
        <v>5173205.7</v>
      </c>
      <c r="I137" s="31">
        <v>350226.55</v>
      </c>
      <c r="J137" s="31">
        <v>1900738.44</v>
      </c>
      <c r="K137" s="31">
        <f t="shared" si="19"/>
        <v>26200941.260000002</v>
      </c>
      <c r="L137" s="31">
        <v>0</v>
      </c>
      <c r="M137" s="31">
        <v>0</v>
      </c>
      <c r="N137" s="31">
        <v>109549383.97</v>
      </c>
      <c r="O137" s="31">
        <v>13174312.359999999</v>
      </c>
      <c r="P137" s="31">
        <v>257262.97</v>
      </c>
      <c r="Q137" s="31">
        <v>1198781.8999999999</v>
      </c>
      <c r="R137" s="31">
        <v>1033507.26</v>
      </c>
      <c r="S137" s="31">
        <v>817802.94</v>
      </c>
      <c r="T137" s="31">
        <v>0</v>
      </c>
      <c r="U137" s="31">
        <v>0</v>
      </c>
      <c r="V137" s="31">
        <v>0</v>
      </c>
      <c r="W137" s="31">
        <f t="shared" si="18"/>
        <v>126031051.40000001</v>
      </c>
      <c r="X137" s="31">
        <v>0</v>
      </c>
      <c r="Y137" s="31">
        <v>130802.65</v>
      </c>
      <c r="Z137" s="31">
        <v>732295.86</v>
      </c>
      <c r="AA137" s="31">
        <v>0</v>
      </c>
      <c r="AB137" s="31">
        <f t="shared" si="20"/>
        <v>863098.51</v>
      </c>
      <c r="AC137" s="31">
        <v>15809353.84</v>
      </c>
      <c r="AD137" s="31">
        <v>34671916.240000002</v>
      </c>
      <c r="AE137" s="31">
        <v>0</v>
      </c>
      <c r="AF137" s="31">
        <f t="shared" si="21"/>
        <v>50481270.079999998</v>
      </c>
      <c r="AG137" s="31">
        <v>0</v>
      </c>
      <c r="AH137" s="31">
        <v>0</v>
      </c>
      <c r="AI137" s="32"/>
      <c r="AJ137" s="31">
        <f t="shared" si="24"/>
        <v>26200941.260000002</v>
      </c>
      <c r="AK137" s="33">
        <f t="shared" si="22"/>
        <v>126894149.91000001</v>
      </c>
      <c r="AL137" s="34">
        <v>0</v>
      </c>
      <c r="AM137" s="8"/>
      <c r="AN137" s="31">
        <f t="shared" si="23"/>
        <v>203576361.25</v>
      </c>
    </row>
    <row r="138" spans="2:40" s="17" customFormat="1" x14ac:dyDescent="0.3">
      <c r="B138" s="39">
        <v>43525</v>
      </c>
      <c r="C138" s="31">
        <v>9238390.5099999998</v>
      </c>
      <c r="D138" s="31">
        <v>0</v>
      </c>
      <c r="E138" s="31">
        <v>5298510.1100000003</v>
      </c>
      <c r="F138" s="31">
        <v>765025.38</v>
      </c>
      <c r="G138" s="31">
        <f t="shared" si="17"/>
        <v>15301926.000000002</v>
      </c>
      <c r="H138" s="31">
        <v>5544786.71</v>
      </c>
      <c r="I138" s="31">
        <v>801749.67999999993</v>
      </c>
      <c r="J138" s="31">
        <v>1581988.6199999973</v>
      </c>
      <c r="K138" s="31">
        <f t="shared" si="19"/>
        <v>23230451.009999998</v>
      </c>
      <c r="L138" s="31">
        <v>33559925</v>
      </c>
      <c r="M138" s="31">
        <v>0</v>
      </c>
      <c r="N138" s="31">
        <v>85077025.659999996</v>
      </c>
      <c r="O138" s="31">
        <v>10733298.26</v>
      </c>
      <c r="P138" s="31">
        <v>257262.97</v>
      </c>
      <c r="Q138" s="31">
        <v>1011282.52</v>
      </c>
      <c r="R138" s="31">
        <v>849417.44</v>
      </c>
      <c r="S138" s="31">
        <v>749882.02</v>
      </c>
      <c r="T138" s="31">
        <v>0</v>
      </c>
      <c r="U138" s="31">
        <v>0</v>
      </c>
      <c r="V138" s="31">
        <v>0</v>
      </c>
      <c r="W138" s="31">
        <f t="shared" si="18"/>
        <v>98678168.86999999</v>
      </c>
      <c r="X138" s="31">
        <v>0</v>
      </c>
      <c r="Y138" s="31">
        <v>130802.65</v>
      </c>
      <c r="Z138" s="31">
        <v>450337.93</v>
      </c>
      <c r="AA138" s="31">
        <v>0</v>
      </c>
      <c r="AB138" s="31">
        <f t="shared" si="20"/>
        <v>581140.57999999996</v>
      </c>
      <c r="AC138" s="31">
        <v>15809353.84</v>
      </c>
      <c r="AD138" s="31">
        <v>34671916.240000002</v>
      </c>
      <c r="AE138" s="31">
        <v>0</v>
      </c>
      <c r="AF138" s="31">
        <f t="shared" si="21"/>
        <v>50481270.079999998</v>
      </c>
      <c r="AG138" s="31">
        <v>0</v>
      </c>
      <c r="AH138" s="31">
        <v>0</v>
      </c>
      <c r="AI138" s="32"/>
      <c r="AJ138" s="31">
        <f t="shared" si="24"/>
        <v>56790376.009999998</v>
      </c>
      <c r="AK138" s="33">
        <f t="shared" si="22"/>
        <v>99259309.449999988</v>
      </c>
      <c r="AL138" s="34">
        <v>0</v>
      </c>
      <c r="AM138" s="8"/>
      <c r="AN138" s="31">
        <f t="shared" si="23"/>
        <v>206530955.53999996</v>
      </c>
    </row>
    <row r="139" spans="2:40" s="17" customFormat="1" x14ac:dyDescent="0.3">
      <c r="B139" s="40">
        <v>43556</v>
      </c>
      <c r="C139" s="31">
        <v>4227288.55</v>
      </c>
      <c r="D139" s="31">
        <v>0</v>
      </c>
      <c r="E139" s="31">
        <v>4624877.9400000004</v>
      </c>
      <c r="F139" s="31">
        <v>495358.32</v>
      </c>
      <c r="G139" s="31">
        <f t="shared" si="17"/>
        <v>9347524.8100000005</v>
      </c>
      <c r="H139" s="31">
        <v>3448030.68</v>
      </c>
      <c r="I139" s="31">
        <v>962643.65</v>
      </c>
      <c r="J139" s="31">
        <v>1371153.92</v>
      </c>
      <c r="K139" s="31">
        <f t="shared" si="19"/>
        <v>15129353.060000001</v>
      </c>
      <c r="L139" s="31">
        <v>11501803</v>
      </c>
      <c r="M139" s="31">
        <v>0</v>
      </c>
      <c r="N139" s="31">
        <v>93557064.989999995</v>
      </c>
      <c r="O139" s="31">
        <v>10832443.17</v>
      </c>
      <c r="P139" s="31">
        <v>693351.99</v>
      </c>
      <c r="Q139" s="31">
        <v>1031757.07</v>
      </c>
      <c r="R139" s="31">
        <v>702820.45</v>
      </c>
      <c r="S139" s="31">
        <v>715690.32</v>
      </c>
      <c r="T139" s="31">
        <v>0</v>
      </c>
      <c r="U139" s="31">
        <v>0</v>
      </c>
      <c r="V139" s="31">
        <v>0</v>
      </c>
      <c r="W139" s="31">
        <f t="shared" si="18"/>
        <v>107533127.98999998</v>
      </c>
      <c r="X139" s="31">
        <v>0</v>
      </c>
      <c r="Y139" s="31">
        <v>130802.65</v>
      </c>
      <c r="Z139" s="31">
        <v>411427.71</v>
      </c>
      <c r="AA139" s="31">
        <v>0</v>
      </c>
      <c r="AB139" s="31">
        <f t="shared" si="20"/>
        <v>542230.36</v>
      </c>
      <c r="AC139" s="31">
        <v>15809353.84</v>
      </c>
      <c r="AD139" s="31">
        <v>34671916.240000002</v>
      </c>
      <c r="AE139" s="31">
        <v>0</v>
      </c>
      <c r="AF139" s="31">
        <f t="shared" si="21"/>
        <v>50481270.079999998</v>
      </c>
      <c r="AG139" s="31">
        <v>0</v>
      </c>
      <c r="AH139" s="31">
        <v>0</v>
      </c>
      <c r="AI139" s="32"/>
      <c r="AJ139" s="31">
        <f t="shared" si="24"/>
        <v>26631156.060000002</v>
      </c>
      <c r="AK139" s="33">
        <f t="shared" si="22"/>
        <v>108075358.34999998</v>
      </c>
      <c r="AL139" s="34">
        <v>-11744204.42</v>
      </c>
      <c r="AM139" s="8"/>
      <c r="AN139" s="31">
        <f t="shared" si="23"/>
        <v>173443580.06999996</v>
      </c>
    </row>
    <row r="140" spans="2:40" s="17" customFormat="1" x14ac:dyDescent="0.3">
      <c r="B140" s="41">
        <v>43586</v>
      </c>
      <c r="C140" s="31">
        <v>3434540.7899999991</v>
      </c>
      <c r="D140" s="31">
        <v>31728757</v>
      </c>
      <c r="E140" s="31">
        <v>4382071.7</v>
      </c>
      <c r="F140" s="31">
        <v>640701.42000000004</v>
      </c>
      <c r="G140" s="31">
        <f t="shared" si="17"/>
        <v>40186070.910000004</v>
      </c>
      <c r="H140" s="31">
        <v>4653632.3099999996</v>
      </c>
      <c r="I140" s="31">
        <v>1800723.33</v>
      </c>
      <c r="J140" s="31">
        <v>2168629.4699999988</v>
      </c>
      <c r="K140" s="31">
        <f t="shared" si="19"/>
        <v>48809056.020000003</v>
      </c>
      <c r="L140" s="31">
        <v>22831309</v>
      </c>
      <c r="M140" s="31">
        <v>0</v>
      </c>
      <c r="N140" s="31">
        <v>93728727.790000007</v>
      </c>
      <c r="O140" s="31">
        <v>12581618.470000001</v>
      </c>
      <c r="P140" s="31">
        <v>286234.68</v>
      </c>
      <c r="Q140" s="31">
        <v>1129986.3999999999</v>
      </c>
      <c r="R140" s="31">
        <v>1315557.49</v>
      </c>
      <c r="S140" s="31">
        <v>711658.74</v>
      </c>
      <c r="T140" s="31">
        <v>0</v>
      </c>
      <c r="U140" s="31">
        <v>0</v>
      </c>
      <c r="V140" s="31">
        <v>0</v>
      </c>
      <c r="W140" s="31">
        <f t="shared" si="18"/>
        <v>109753783.57000001</v>
      </c>
      <c r="X140" s="31">
        <v>0</v>
      </c>
      <c r="Y140" s="31">
        <v>130802.65</v>
      </c>
      <c r="Z140" s="31">
        <v>479646.23</v>
      </c>
      <c r="AA140" s="31">
        <v>0</v>
      </c>
      <c r="AB140" s="31">
        <f t="shared" si="20"/>
        <v>610448.88</v>
      </c>
      <c r="AC140" s="31">
        <v>15809353.84</v>
      </c>
      <c r="AD140" s="31">
        <v>34671916.240000002</v>
      </c>
      <c r="AE140" s="31">
        <v>21711325.300000001</v>
      </c>
      <c r="AF140" s="31">
        <f t="shared" si="21"/>
        <v>72192595.379999995</v>
      </c>
      <c r="AG140" s="31">
        <v>0</v>
      </c>
      <c r="AH140" s="31">
        <v>0</v>
      </c>
      <c r="AI140" s="32"/>
      <c r="AJ140" s="31">
        <f t="shared" si="24"/>
        <v>71640365.020000011</v>
      </c>
      <c r="AK140" s="33">
        <f t="shared" si="22"/>
        <v>110364232.45</v>
      </c>
      <c r="AL140" s="34">
        <v>-676.77</v>
      </c>
      <c r="AM140" s="8"/>
      <c r="AN140" s="31">
        <f t="shared" si="23"/>
        <v>254196516.08000001</v>
      </c>
    </row>
    <row r="141" spans="2:40" s="17" customFormat="1" x14ac:dyDescent="0.3">
      <c r="B141" s="42">
        <v>43617</v>
      </c>
      <c r="C141" s="31">
        <v>4523714.4000000004</v>
      </c>
      <c r="D141" s="31">
        <v>0</v>
      </c>
      <c r="E141" s="31">
        <v>23252671.800000001</v>
      </c>
      <c r="F141" s="31">
        <v>553663.68999999994</v>
      </c>
      <c r="G141" s="31">
        <f t="shared" si="17"/>
        <v>28330049.890000004</v>
      </c>
      <c r="H141" s="31">
        <v>3413407.84</v>
      </c>
      <c r="I141" s="31">
        <v>1592062.33</v>
      </c>
      <c r="J141" s="31">
        <v>2571437.25</v>
      </c>
      <c r="K141" s="31">
        <f t="shared" si="19"/>
        <v>35906957.310000002</v>
      </c>
      <c r="L141" s="31">
        <v>9483303</v>
      </c>
      <c r="M141" s="31">
        <v>0</v>
      </c>
      <c r="N141" s="31">
        <v>103976257.45</v>
      </c>
      <c r="O141" s="31">
        <v>9883624.25</v>
      </c>
      <c r="P141" s="31">
        <v>257262.97</v>
      </c>
      <c r="Q141" s="31">
        <v>1168188.6100000001</v>
      </c>
      <c r="R141" s="31">
        <v>869960.52</v>
      </c>
      <c r="S141" s="31">
        <v>786806.91</v>
      </c>
      <c r="T141" s="31">
        <v>0</v>
      </c>
      <c r="U141" s="31">
        <v>0</v>
      </c>
      <c r="V141" s="31">
        <v>0</v>
      </c>
      <c r="W141" s="31">
        <f t="shared" si="18"/>
        <v>116942100.70999999</v>
      </c>
      <c r="X141" s="31">
        <v>0</v>
      </c>
      <c r="Y141" s="31">
        <v>130802.65</v>
      </c>
      <c r="Z141" s="31">
        <v>405792.1</v>
      </c>
      <c r="AA141" s="31">
        <v>0</v>
      </c>
      <c r="AB141" s="31">
        <f t="shared" si="20"/>
        <v>536594.75</v>
      </c>
      <c r="AC141" s="31">
        <v>15809353.84</v>
      </c>
      <c r="AD141" s="31">
        <v>34671916.240000002</v>
      </c>
      <c r="AE141" s="31">
        <v>130572</v>
      </c>
      <c r="AF141" s="31">
        <f t="shared" si="21"/>
        <v>50611842.079999998</v>
      </c>
      <c r="AG141" s="31">
        <v>0</v>
      </c>
      <c r="AH141" s="31">
        <v>0</v>
      </c>
      <c r="AI141" s="32"/>
      <c r="AJ141" s="31">
        <f t="shared" si="24"/>
        <v>45390260.310000002</v>
      </c>
      <c r="AK141" s="33">
        <f t="shared" si="22"/>
        <v>117478695.45999999</v>
      </c>
      <c r="AL141" s="34">
        <v>1211</v>
      </c>
      <c r="AM141" s="8"/>
      <c r="AN141" s="31">
        <f t="shared" si="23"/>
        <v>213482008.84999996</v>
      </c>
    </row>
    <row r="142" spans="2:40" s="17" customFormat="1" x14ac:dyDescent="0.3">
      <c r="B142" s="43">
        <v>43647</v>
      </c>
      <c r="C142" s="31">
        <v>9243590.6199999992</v>
      </c>
      <c r="D142" s="31">
        <v>0</v>
      </c>
      <c r="E142" s="31">
        <v>6444725.3600000003</v>
      </c>
      <c r="F142" s="31">
        <v>138728.34</v>
      </c>
      <c r="G142" s="31">
        <f t="shared" si="17"/>
        <v>15827044.32</v>
      </c>
      <c r="H142" s="31">
        <v>5415159.8200000003</v>
      </c>
      <c r="I142" s="31">
        <v>1788264.95</v>
      </c>
      <c r="J142" s="31">
        <v>3395578.6499999985</v>
      </c>
      <c r="K142" s="31">
        <f t="shared" si="19"/>
        <v>26426047.739999998</v>
      </c>
      <c r="L142" s="31">
        <v>13940999</v>
      </c>
      <c r="M142" s="31">
        <v>0</v>
      </c>
      <c r="N142" s="31">
        <v>89146092.959999993</v>
      </c>
      <c r="O142" s="31">
        <v>9726040.8599999994</v>
      </c>
      <c r="P142" s="31">
        <v>520443.97</v>
      </c>
      <c r="Q142" s="31">
        <v>1063672.82</v>
      </c>
      <c r="R142" s="31">
        <v>767406.68</v>
      </c>
      <c r="S142" s="31">
        <v>769398.49</v>
      </c>
      <c r="T142" s="31">
        <v>0</v>
      </c>
      <c r="U142" s="31">
        <v>0</v>
      </c>
      <c r="V142" s="31">
        <v>0</v>
      </c>
      <c r="W142" s="31">
        <f t="shared" si="18"/>
        <v>101993055.77999999</v>
      </c>
      <c r="X142" s="31">
        <v>0</v>
      </c>
      <c r="Y142" s="31">
        <v>261605.3</v>
      </c>
      <c r="Z142" s="31">
        <v>445103.84</v>
      </c>
      <c r="AA142" s="31">
        <v>0</v>
      </c>
      <c r="AB142" s="31">
        <f t="shared" si="20"/>
        <v>706709.14</v>
      </c>
      <c r="AC142" s="31">
        <v>15809353.84</v>
      </c>
      <c r="AD142" s="31">
        <v>34671916.240000002</v>
      </c>
      <c r="AE142" s="31">
        <v>0</v>
      </c>
      <c r="AF142" s="31">
        <f t="shared" si="21"/>
        <v>50481270.079999998</v>
      </c>
      <c r="AG142" s="31">
        <v>0</v>
      </c>
      <c r="AH142" s="31">
        <v>0</v>
      </c>
      <c r="AI142" s="32"/>
      <c r="AJ142" s="31">
        <f t="shared" si="24"/>
        <v>40367046.739999995</v>
      </c>
      <c r="AK142" s="33">
        <f t="shared" si="22"/>
        <v>102699764.91999999</v>
      </c>
      <c r="AL142" s="34">
        <v>-294.01</v>
      </c>
      <c r="AM142" s="8"/>
      <c r="AN142" s="31">
        <f t="shared" si="23"/>
        <v>193547787.72999996</v>
      </c>
    </row>
    <row r="143" spans="2:40" s="17" customFormat="1" x14ac:dyDescent="0.3">
      <c r="B143" s="44">
        <v>43678</v>
      </c>
      <c r="C143" s="31">
        <v>8041870.9900000002</v>
      </c>
      <c r="D143" s="31">
        <v>0</v>
      </c>
      <c r="E143" s="31">
        <v>7420620.5499999998</v>
      </c>
      <c r="F143" s="31">
        <v>146468.15</v>
      </c>
      <c r="G143" s="31">
        <f t="shared" si="17"/>
        <v>15608959.689999999</v>
      </c>
      <c r="H143" s="31">
        <v>4404174.38</v>
      </c>
      <c r="I143" s="31">
        <v>2174204.5499999998</v>
      </c>
      <c r="J143" s="31">
        <v>2933452.5999999996</v>
      </c>
      <c r="K143" s="31">
        <f t="shared" si="19"/>
        <v>25120791.219999999</v>
      </c>
      <c r="L143" s="31">
        <v>7305059</v>
      </c>
      <c r="M143" s="31">
        <v>0</v>
      </c>
      <c r="N143" s="31">
        <v>87310592.650000006</v>
      </c>
      <c r="O143" s="31">
        <v>9474391.0399999991</v>
      </c>
      <c r="P143" s="31">
        <v>257262.97</v>
      </c>
      <c r="Q143" s="31">
        <v>1015341.87</v>
      </c>
      <c r="R143" s="31">
        <v>966826.17</v>
      </c>
      <c r="S143" s="31">
        <v>624293.31000000006</v>
      </c>
      <c r="T143" s="31">
        <v>0</v>
      </c>
      <c r="U143" s="31">
        <v>0</v>
      </c>
      <c r="V143" s="31">
        <v>5729831.2999999998</v>
      </c>
      <c r="W143" s="31">
        <f>SUM(N143:V143)</f>
        <v>105378539.31</v>
      </c>
      <c r="X143" s="31">
        <v>0</v>
      </c>
      <c r="Y143" s="31">
        <v>130802.65</v>
      </c>
      <c r="Z143" s="31">
        <v>418337.13</v>
      </c>
      <c r="AA143" s="31">
        <v>0</v>
      </c>
      <c r="AB143" s="31">
        <f t="shared" si="20"/>
        <v>549139.78</v>
      </c>
      <c r="AC143" s="31">
        <v>15809353.84</v>
      </c>
      <c r="AD143" s="31">
        <v>34671916.240000002</v>
      </c>
      <c r="AE143" s="31">
        <v>0</v>
      </c>
      <c r="AF143" s="31">
        <f t="shared" si="21"/>
        <v>50481270.079999998</v>
      </c>
      <c r="AG143" s="31">
        <v>0</v>
      </c>
      <c r="AH143" s="31">
        <v>0</v>
      </c>
      <c r="AI143" s="32"/>
      <c r="AJ143" s="31">
        <f t="shared" si="24"/>
        <v>32425850.219999999</v>
      </c>
      <c r="AK143" s="33">
        <f t="shared" si="22"/>
        <v>105927679.09</v>
      </c>
      <c r="AL143" s="34">
        <v>0</v>
      </c>
      <c r="AM143" s="8"/>
      <c r="AN143" s="31">
        <f t="shared" si="23"/>
        <v>188834799.38999999</v>
      </c>
    </row>
    <row r="144" spans="2:40" s="17" customFormat="1" x14ac:dyDescent="0.3">
      <c r="B144" s="45">
        <v>43709</v>
      </c>
      <c r="C144" s="31">
        <v>6830866.6100000003</v>
      </c>
      <c r="D144" s="31">
        <v>0</v>
      </c>
      <c r="E144" s="31">
        <v>6157173.0599999996</v>
      </c>
      <c r="F144" s="31">
        <v>587178.77</v>
      </c>
      <c r="G144" s="31">
        <f t="shared" si="17"/>
        <v>13575218.439999999</v>
      </c>
      <c r="H144" s="31">
        <v>3631741.61</v>
      </c>
      <c r="I144" s="31">
        <v>3314420.22</v>
      </c>
      <c r="J144" s="31">
        <v>3869446.7799999993</v>
      </c>
      <c r="K144" s="31">
        <f t="shared" si="19"/>
        <v>24390827.049999997</v>
      </c>
      <c r="L144" s="31">
        <v>12754034</v>
      </c>
      <c r="M144" s="31">
        <v>0</v>
      </c>
      <c r="N144" s="31">
        <v>69808114.650000006</v>
      </c>
      <c r="O144" s="31">
        <v>7975925.54</v>
      </c>
      <c r="P144" s="31">
        <v>257262.97</v>
      </c>
      <c r="Q144" s="31">
        <v>1088769.0900000001</v>
      </c>
      <c r="R144" s="31">
        <v>970096.6</v>
      </c>
      <c r="S144" s="31">
        <v>710111.11</v>
      </c>
      <c r="T144" s="31">
        <v>0</v>
      </c>
      <c r="U144" s="31">
        <v>0</v>
      </c>
      <c r="V144" s="31">
        <v>0</v>
      </c>
      <c r="W144" s="31">
        <f t="shared" ref="W144:W153" si="25">SUM(N144:V144)</f>
        <v>80810279.960000008</v>
      </c>
      <c r="X144" s="31">
        <v>0</v>
      </c>
      <c r="Y144" s="31">
        <v>130802.65</v>
      </c>
      <c r="Z144" s="31">
        <v>455359.07</v>
      </c>
      <c r="AA144" s="31">
        <v>0</v>
      </c>
      <c r="AB144" s="31">
        <f t="shared" si="20"/>
        <v>586161.72</v>
      </c>
      <c r="AC144" s="31">
        <v>15809353.84</v>
      </c>
      <c r="AD144" s="31">
        <v>34671916.240000002</v>
      </c>
      <c r="AE144" s="31">
        <v>9391901.6999999993</v>
      </c>
      <c r="AF144" s="31">
        <f t="shared" si="21"/>
        <v>59873171.780000001</v>
      </c>
      <c r="AG144" s="31">
        <v>0</v>
      </c>
      <c r="AH144" s="31">
        <v>0</v>
      </c>
      <c r="AI144" s="32"/>
      <c r="AJ144" s="31">
        <f t="shared" si="24"/>
        <v>37144861.049999997</v>
      </c>
      <c r="AK144" s="33">
        <f t="shared" si="22"/>
        <v>81396441.680000007</v>
      </c>
      <c r="AL144" s="34">
        <v>0</v>
      </c>
      <c r="AM144" s="8"/>
      <c r="AN144" s="31">
        <f t="shared" si="23"/>
        <v>178414474.50999999</v>
      </c>
    </row>
    <row r="145" spans="2:40" s="17" customFormat="1" x14ac:dyDescent="0.3">
      <c r="B145" s="30">
        <v>43739</v>
      </c>
      <c r="C145" s="31">
        <v>5168188.6500000004</v>
      </c>
      <c r="D145" s="31">
        <v>0</v>
      </c>
      <c r="E145" s="31">
        <v>6195853.4100000001</v>
      </c>
      <c r="F145" s="31">
        <v>150854.66</v>
      </c>
      <c r="G145" s="31">
        <f t="shared" si="17"/>
        <v>11514896.720000001</v>
      </c>
      <c r="H145" s="31">
        <v>4228937.2</v>
      </c>
      <c r="I145" s="31">
        <v>15836817.58</v>
      </c>
      <c r="J145" s="31">
        <v>3919867</v>
      </c>
      <c r="K145" s="31">
        <f t="shared" si="19"/>
        <v>35500518.5</v>
      </c>
      <c r="L145" s="32">
        <v>10823628</v>
      </c>
      <c r="M145" s="31">
        <v>0</v>
      </c>
      <c r="N145" s="31">
        <v>73818516.280000001</v>
      </c>
      <c r="O145" s="31">
        <v>0</v>
      </c>
      <c r="P145" s="31">
        <v>475038.01</v>
      </c>
      <c r="Q145" s="31">
        <v>1069693.98</v>
      </c>
      <c r="R145" s="31">
        <v>1164327.57</v>
      </c>
      <c r="S145" s="31">
        <v>700563.12</v>
      </c>
      <c r="T145" s="31">
        <v>0</v>
      </c>
      <c r="U145" s="31">
        <v>0</v>
      </c>
      <c r="V145" s="31">
        <v>17386928.560000002</v>
      </c>
      <c r="W145" s="31">
        <f t="shared" si="25"/>
        <v>94615067.520000011</v>
      </c>
      <c r="X145" s="31">
        <v>0</v>
      </c>
      <c r="Y145" s="31">
        <v>130802.67</v>
      </c>
      <c r="Z145" s="31">
        <v>410903.24</v>
      </c>
      <c r="AA145" s="31">
        <v>0</v>
      </c>
      <c r="AB145" s="31">
        <f t="shared" si="20"/>
        <v>541705.91</v>
      </c>
      <c r="AC145" s="31">
        <v>15809353.85</v>
      </c>
      <c r="AD145" s="31">
        <v>34671916.240000002</v>
      </c>
      <c r="AE145" s="31">
        <v>261144</v>
      </c>
      <c r="AF145" s="31">
        <f t="shared" si="21"/>
        <v>50742414.090000004</v>
      </c>
      <c r="AG145" s="31">
        <v>0</v>
      </c>
      <c r="AH145" s="31">
        <v>0</v>
      </c>
      <c r="AI145" s="32"/>
      <c r="AJ145" s="31">
        <f t="shared" si="24"/>
        <v>46324146.5</v>
      </c>
      <c r="AK145" s="33">
        <f t="shared" si="22"/>
        <v>95156773.430000007</v>
      </c>
      <c r="AL145" s="34">
        <v>-6016</v>
      </c>
      <c r="AM145" s="8"/>
      <c r="AN145" s="31">
        <f t="shared" si="23"/>
        <v>192217318.02000001</v>
      </c>
    </row>
    <row r="146" spans="2:40" s="17" customFormat="1" x14ac:dyDescent="0.3">
      <c r="B146" s="35">
        <v>43770</v>
      </c>
      <c r="C146" s="31">
        <v>5466763.5099999998</v>
      </c>
      <c r="D146" s="31">
        <v>0</v>
      </c>
      <c r="E146" s="31">
        <v>6325415.8399999999</v>
      </c>
      <c r="F146" s="31">
        <v>153486.26</v>
      </c>
      <c r="G146" s="31">
        <f t="shared" si="17"/>
        <v>11945665.609999999</v>
      </c>
      <c r="H146" s="31">
        <v>3850230.82</v>
      </c>
      <c r="I146" s="31">
        <v>3109259.54</v>
      </c>
      <c r="J146" s="31">
        <v>2947785.0399999991</v>
      </c>
      <c r="K146" s="31">
        <f t="shared" si="19"/>
        <v>21852941.009999998</v>
      </c>
      <c r="L146" s="31">
        <v>26155667</v>
      </c>
      <c r="M146" s="31">
        <v>0</v>
      </c>
      <c r="N146" s="31">
        <v>58423328.009999998</v>
      </c>
      <c r="O146" s="31">
        <v>11339461.41</v>
      </c>
      <c r="P146" s="31">
        <v>257262.96</v>
      </c>
      <c r="Q146" s="31">
        <v>1045180.01</v>
      </c>
      <c r="R146" s="31">
        <v>805832.2</v>
      </c>
      <c r="S146" s="31">
        <v>902026.4</v>
      </c>
      <c r="T146" s="31">
        <v>0</v>
      </c>
      <c r="U146" s="31">
        <v>0</v>
      </c>
      <c r="V146" s="31">
        <v>0</v>
      </c>
      <c r="W146" s="31">
        <f t="shared" si="25"/>
        <v>72773090.99000001</v>
      </c>
      <c r="X146" s="31">
        <v>0</v>
      </c>
      <c r="Y146" s="31">
        <v>130802.66</v>
      </c>
      <c r="Z146" s="31">
        <v>419227.74</v>
      </c>
      <c r="AA146" s="31">
        <v>0</v>
      </c>
      <c r="AB146" s="31">
        <f t="shared" si="20"/>
        <v>550030.4</v>
      </c>
      <c r="AC146" s="31">
        <v>0</v>
      </c>
      <c r="AD146" s="31">
        <v>34671916.240000002</v>
      </c>
      <c r="AE146" s="31">
        <v>0</v>
      </c>
      <c r="AF146" s="31">
        <f t="shared" si="21"/>
        <v>34671916.240000002</v>
      </c>
      <c r="AG146" s="31">
        <v>0</v>
      </c>
      <c r="AH146" s="31">
        <v>0</v>
      </c>
      <c r="AI146" s="32"/>
      <c r="AJ146" s="31">
        <f t="shared" si="24"/>
        <v>48008608.009999998</v>
      </c>
      <c r="AK146" s="33">
        <f t="shared" si="22"/>
        <v>73323121.390000015</v>
      </c>
      <c r="AL146" s="34">
        <v>0</v>
      </c>
      <c r="AM146" s="8"/>
      <c r="AN146" s="31">
        <f t="shared" si="23"/>
        <v>156003645.64000002</v>
      </c>
    </row>
    <row r="147" spans="2:40" s="17" customFormat="1" x14ac:dyDescent="0.3">
      <c r="B147" s="36">
        <v>43800</v>
      </c>
      <c r="C147" s="31">
        <v>7136606.6900000004</v>
      </c>
      <c r="D147" s="32">
        <v>0</v>
      </c>
      <c r="E147" s="31">
        <v>12227171.07</v>
      </c>
      <c r="F147" s="31">
        <v>503564.77</v>
      </c>
      <c r="G147" s="31">
        <f t="shared" si="17"/>
        <v>19867342.530000001</v>
      </c>
      <c r="H147" s="31">
        <v>4946167.9800000004</v>
      </c>
      <c r="I147" s="31">
        <v>3491788.5300000003</v>
      </c>
      <c r="J147" s="31">
        <v>4302796.1999999993</v>
      </c>
      <c r="K147" s="31">
        <f t="shared" si="19"/>
        <v>32608095.240000002</v>
      </c>
      <c r="L147" s="31">
        <v>14437220</v>
      </c>
      <c r="M147" s="31">
        <v>0</v>
      </c>
      <c r="N147" s="31">
        <v>76830448.030000001</v>
      </c>
      <c r="O147" s="31">
        <v>7907240.5699999994</v>
      </c>
      <c r="P147" s="31">
        <v>257262.96</v>
      </c>
      <c r="Q147" s="31">
        <v>1026940.71</v>
      </c>
      <c r="R147" s="31">
        <v>908370.94</v>
      </c>
      <c r="S147" s="31">
        <v>689119.14</v>
      </c>
      <c r="T147" s="31">
        <v>0</v>
      </c>
      <c r="U147" s="31">
        <v>0</v>
      </c>
      <c r="V147" s="31">
        <v>42592849.039999999</v>
      </c>
      <c r="W147" s="31">
        <f t="shared" si="25"/>
        <v>130212231.38999999</v>
      </c>
      <c r="X147" s="31">
        <v>0</v>
      </c>
      <c r="Y147" s="31">
        <v>130802.66</v>
      </c>
      <c r="Z147" s="31">
        <v>504189.65</v>
      </c>
      <c r="AA147" s="31">
        <v>0</v>
      </c>
      <c r="AB147" s="31">
        <f t="shared" si="20"/>
        <v>634992.31000000006</v>
      </c>
      <c r="AC147" s="31">
        <v>0</v>
      </c>
      <c r="AD147" s="31">
        <v>34671916.469999999</v>
      </c>
      <c r="AE147" s="31">
        <v>10408974.289999999</v>
      </c>
      <c r="AF147" s="31">
        <f t="shared" si="21"/>
        <v>45080890.759999998</v>
      </c>
      <c r="AG147" s="31">
        <v>0</v>
      </c>
      <c r="AH147" s="31">
        <v>0</v>
      </c>
      <c r="AI147" s="32"/>
      <c r="AJ147" s="31">
        <f t="shared" si="24"/>
        <v>47045315.240000002</v>
      </c>
      <c r="AK147" s="33">
        <f t="shared" si="22"/>
        <v>130847223.69999999</v>
      </c>
      <c r="AL147" s="34">
        <v>0</v>
      </c>
      <c r="AM147" s="8"/>
      <c r="AN147" s="31">
        <f t="shared" si="23"/>
        <v>222973429.69999999</v>
      </c>
    </row>
    <row r="148" spans="2:40" s="17" customFormat="1" x14ac:dyDescent="0.3">
      <c r="B148" s="37">
        <v>43831</v>
      </c>
      <c r="C148" s="31">
        <v>101265165.48</v>
      </c>
      <c r="D148" s="31">
        <v>0</v>
      </c>
      <c r="E148" s="31">
        <v>5480750.6600000001</v>
      </c>
      <c r="F148" s="31">
        <v>2313453.2199999997</v>
      </c>
      <c r="G148" s="31">
        <f t="shared" si="17"/>
        <v>109059369.36</v>
      </c>
      <c r="H148" s="31">
        <v>9154300.0399999991</v>
      </c>
      <c r="I148" s="31">
        <v>2327909.56</v>
      </c>
      <c r="J148" s="31">
        <v>3861255.0199999996</v>
      </c>
      <c r="K148" s="31">
        <f t="shared" si="19"/>
        <v>124402833.98</v>
      </c>
      <c r="L148" s="31">
        <v>12303681</v>
      </c>
      <c r="M148" s="31">
        <v>0</v>
      </c>
      <c r="N148" s="31">
        <v>82689611.969999999</v>
      </c>
      <c r="O148" s="31">
        <v>8842330.5199999996</v>
      </c>
      <c r="P148" s="31">
        <v>462498.07</v>
      </c>
      <c r="Q148" s="31">
        <v>1015375.99</v>
      </c>
      <c r="R148" s="31">
        <v>730429.9</v>
      </c>
      <c r="S148" s="31">
        <v>647305.82999999996</v>
      </c>
      <c r="T148" s="31">
        <v>0</v>
      </c>
      <c r="U148" s="31">
        <v>0</v>
      </c>
      <c r="V148" s="31">
        <v>0</v>
      </c>
      <c r="W148" s="31">
        <f t="shared" si="25"/>
        <v>94387552.279999986</v>
      </c>
      <c r="X148" s="31">
        <v>0</v>
      </c>
      <c r="Y148" s="31">
        <v>137419.21</v>
      </c>
      <c r="Z148" s="31">
        <v>0</v>
      </c>
      <c r="AA148" s="31">
        <v>0</v>
      </c>
      <c r="AB148" s="31">
        <f t="shared" si="20"/>
        <v>137419.21</v>
      </c>
      <c r="AC148" s="31">
        <f>18157080.4-284639.4</f>
        <v>17872441</v>
      </c>
      <c r="AD148" s="31">
        <f>35825565.94-6266.94</f>
        <v>35819299</v>
      </c>
      <c r="AE148" s="31">
        <v>0</v>
      </c>
      <c r="AF148" s="31">
        <f t="shared" si="21"/>
        <v>53691740</v>
      </c>
      <c r="AG148" s="31">
        <v>0</v>
      </c>
      <c r="AH148" s="31">
        <v>0</v>
      </c>
      <c r="AI148" s="32"/>
      <c r="AJ148" s="31">
        <f t="shared" si="24"/>
        <v>136706514.98000002</v>
      </c>
      <c r="AK148" s="33">
        <f t="shared" si="22"/>
        <v>94524971.48999998</v>
      </c>
      <c r="AL148" s="34">
        <v>-111386.26</v>
      </c>
      <c r="AM148" s="8"/>
      <c r="AN148" s="31">
        <f t="shared" si="23"/>
        <v>284811840.21000004</v>
      </c>
    </row>
    <row r="149" spans="2:40" s="17" customFormat="1" x14ac:dyDescent="0.3">
      <c r="B149" s="38">
        <v>43862</v>
      </c>
      <c r="C149" s="31">
        <v>15049400</v>
      </c>
      <c r="D149" s="31">
        <v>0</v>
      </c>
      <c r="E149" s="31">
        <v>5263375.3899999997</v>
      </c>
      <c r="F149" s="31">
        <v>1041019.14</v>
      </c>
      <c r="G149" s="31">
        <f t="shared" si="17"/>
        <v>21353794.530000001</v>
      </c>
      <c r="H149" s="31">
        <v>6032869.1900000004</v>
      </c>
      <c r="I149" s="31">
        <v>352432.65</v>
      </c>
      <c r="J149" s="31">
        <v>3397165.47</v>
      </c>
      <c r="K149" s="31">
        <f t="shared" si="19"/>
        <v>31136261.84</v>
      </c>
      <c r="L149" s="31">
        <v>0</v>
      </c>
      <c r="M149" s="31">
        <v>0</v>
      </c>
      <c r="N149" s="31">
        <v>120872903.92</v>
      </c>
      <c r="O149" s="31">
        <v>14342815.529999999</v>
      </c>
      <c r="P149" s="31">
        <v>257262.96</v>
      </c>
      <c r="Q149" s="31">
        <v>1056155.79</v>
      </c>
      <c r="R149" s="31">
        <v>1060540.18</v>
      </c>
      <c r="S149" s="31">
        <v>730695.37</v>
      </c>
      <c r="T149" s="31">
        <v>0</v>
      </c>
      <c r="U149" s="31">
        <v>0</v>
      </c>
      <c r="V149" s="31">
        <v>8512874.9399999995</v>
      </c>
      <c r="W149" s="31">
        <f t="shared" si="25"/>
        <v>146833248.69</v>
      </c>
      <c r="X149" s="31">
        <v>468.98</v>
      </c>
      <c r="Y149" s="31">
        <v>137419.21</v>
      </c>
      <c r="Z149" s="31">
        <v>636974.4</v>
      </c>
      <c r="AA149" s="31">
        <v>0</v>
      </c>
      <c r="AB149" s="31">
        <f t="shared" si="20"/>
        <v>774862.59000000008</v>
      </c>
      <c r="AC149" s="31">
        <f>17960764.27-88323.27</f>
        <v>17872441</v>
      </c>
      <c r="AD149" s="31">
        <f>35820870.44-1571.44</f>
        <v>35819299</v>
      </c>
      <c r="AE149" s="31">
        <v>0</v>
      </c>
      <c r="AF149" s="31">
        <f t="shared" si="21"/>
        <v>53691740</v>
      </c>
      <c r="AG149" s="31">
        <v>0</v>
      </c>
      <c r="AH149" s="31">
        <v>0</v>
      </c>
      <c r="AI149" s="32"/>
      <c r="AJ149" s="31">
        <f t="shared" si="24"/>
        <v>31136261.84</v>
      </c>
      <c r="AK149" s="33">
        <f t="shared" si="22"/>
        <v>147608111.28</v>
      </c>
      <c r="AL149" s="34">
        <v>0</v>
      </c>
      <c r="AM149" s="8"/>
      <c r="AN149" s="31">
        <f t="shared" si="23"/>
        <v>232436113.12</v>
      </c>
    </row>
    <row r="150" spans="2:40" s="17" customFormat="1" x14ac:dyDescent="0.3">
      <c r="B150" s="39">
        <v>43891</v>
      </c>
      <c r="C150" s="31">
        <v>8988445.9299999997</v>
      </c>
      <c r="D150" s="31">
        <v>0</v>
      </c>
      <c r="E150" s="31">
        <v>5282111.6500000004</v>
      </c>
      <c r="F150" s="31">
        <v>1333249.52</v>
      </c>
      <c r="G150" s="31">
        <f t="shared" si="17"/>
        <v>15603807.1</v>
      </c>
      <c r="H150" s="31">
        <v>5635962.9299999997</v>
      </c>
      <c r="I150" s="31">
        <v>1431534.5699999998</v>
      </c>
      <c r="J150" s="31">
        <v>3814802.6400000006</v>
      </c>
      <c r="K150" s="31">
        <f t="shared" si="19"/>
        <v>26486107.240000002</v>
      </c>
      <c r="L150" s="31">
        <v>23583450</v>
      </c>
      <c r="M150" s="31">
        <v>0</v>
      </c>
      <c r="N150" s="31">
        <v>82982913.590000004</v>
      </c>
      <c r="O150" s="31">
        <v>8882776.5700000003</v>
      </c>
      <c r="P150" s="31">
        <v>257262.96</v>
      </c>
      <c r="Q150" s="31">
        <v>1059127.1399999999</v>
      </c>
      <c r="R150" s="31">
        <v>662587.82999999996</v>
      </c>
      <c r="S150" s="31">
        <v>745534.87</v>
      </c>
      <c r="T150" s="31">
        <v>0</v>
      </c>
      <c r="U150" s="31">
        <v>0</v>
      </c>
      <c r="V150" s="31">
        <v>2690627.39</v>
      </c>
      <c r="W150" s="31">
        <f t="shared" si="25"/>
        <v>97280830.349999994</v>
      </c>
      <c r="X150" s="31">
        <v>0</v>
      </c>
      <c r="Y150" s="31">
        <v>137419.21</v>
      </c>
      <c r="Z150" s="31">
        <v>1276110.0099999998</v>
      </c>
      <c r="AA150" s="31">
        <v>0</v>
      </c>
      <c r="AB150" s="31">
        <f t="shared" si="20"/>
        <v>1413529.2199999997</v>
      </c>
      <c r="AC150" s="31">
        <f>18023699.05-151258.05</f>
        <v>17872441</v>
      </c>
      <c r="AD150" s="31">
        <f>36101738.16-282439.16</f>
        <v>35819299</v>
      </c>
      <c r="AE150" s="31">
        <v>0</v>
      </c>
      <c r="AF150" s="31">
        <f t="shared" si="21"/>
        <v>53691740</v>
      </c>
      <c r="AG150" s="31">
        <v>0</v>
      </c>
      <c r="AH150" s="31">
        <v>0</v>
      </c>
      <c r="AI150" s="32"/>
      <c r="AJ150" s="31">
        <f t="shared" si="24"/>
        <v>50069557.240000002</v>
      </c>
      <c r="AK150" s="33">
        <f t="shared" si="22"/>
        <v>98694359.569999993</v>
      </c>
      <c r="AL150" s="34">
        <v>0</v>
      </c>
      <c r="AM150" s="8"/>
      <c r="AN150" s="31">
        <f t="shared" si="23"/>
        <v>202455656.81</v>
      </c>
    </row>
    <row r="151" spans="2:40" s="17" customFormat="1" x14ac:dyDescent="0.3">
      <c r="B151" s="40">
        <v>43922</v>
      </c>
      <c r="C151" s="31">
        <v>2806203.7899999991</v>
      </c>
      <c r="D151" s="31">
        <v>34268047</v>
      </c>
      <c r="E151" s="31">
        <v>3700348.72</v>
      </c>
      <c r="F151" s="31">
        <v>658216.73</v>
      </c>
      <c r="G151" s="31">
        <f t="shared" si="17"/>
        <v>41432816.239999995</v>
      </c>
      <c r="H151" s="31">
        <v>1984180.84</v>
      </c>
      <c r="I151" s="31">
        <v>715121.09</v>
      </c>
      <c r="J151" s="31">
        <v>1582543.8600000003</v>
      </c>
      <c r="K151" s="31">
        <f t="shared" si="19"/>
        <v>45714662.030000001</v>
      </c>
      <c r="L151" s="31">
        <v>6405982</v>
      </c>
      <c r="M151" s="31">
        <v>0</v>
      </c>
      <c r="N151" s="31">
        <v>124937047.11</v>
      </c>
      <c r="O151" s="31">
        <v>14936699.470000001</v>
      </c>
      <c r="P151" s="31">
        <v>804786.95</v>
      </c>
      <c r="Q151" s="31">
        <v>968551.18</v>
      </c>
      <c r="R151" s="31">
        <v>624760.21</v>
      </c>
      <c r="S151" s="31">
        <v>651561.80000000005</v>
      </c>
      <c r="T151" s="31">
        <v>0</v>
      </c>
      <c r="U151" s="31">
        <v>0</v>
      </c>
      <c r="V151" s="31">
        <v>57119.35</v>
      </c>
      <c r="W151" s="31">
        <f t="shared" si="25"/>
        <v>142980526.07000002</v>
      </c>
      <c r="X151" s="31">
        <v>0</v>
      </c>
      <c r="Y151" s="31">
        <v>137419.21</v>
      </c>
      <c r="Z151" s="31">
        <v>410795.98</v>
      </c>
      <c r="AA151" s="31">
        <v>0</v>
      </c>
      <c r="AB151" s="31">
        <f t="shared" si="20"/>
        <v>548215.18999999994</v>
      </c>
      <c r="AC151" s="31">
        <v>0</v>
      </c>
      <c r="AD151" s="31">
        <v>35819299</v>
      </c>
      <c r="AE151" s="31">
        <f>21549056.8+2188.79</f>
        <v>21551245.59</v>
      </c>
      <c r="AF151" s="31">
        <f t="shared" si="21"/>
        <v>57370544.590000004</v>
      </c>
      <c r="AG151" s="31">
        <v>0</v>
      </c>
      <c r="AH151" s="31">
        <v>0</v>
      </c>
      <c r="AI151" s="32"/>
      <c r="AJ151" s="31">
        <f t="shared" si="24"/>
        <v>52120644.030000001</v>
      </c>
      <c r="AK151" s="33">
        <f t="shared" si="22"/>
        <v>143528741.26000002</v>
      </c>
      <c r="AL151" s="34">
        <v>-4852446.54</v>
      </c>
      <c r="AM151" s="8"/>
      <c r="AN151" s="31">
        <f t="shared" si="23"/>
        <v>248167483.34000003</v>
      </c>
    </row>
    <row r="152" spans="2:40" s="17" customFormat="1" x14ac:dyDescent="0.3">
      <c r="B152" s="41">
        <v>43952</v>
      </c>
      <c r="C152" s="31">
        <v>2186842.7799999998</v>
      </c>
      <c r="D152" s="31">
        <v>0</v>
      </c>
      <c r="E152" s="31">
        <v>4064776.42</v>
      </c>
      <c r="F152" s="31">
        <v>117567.97</v>
      </c>
      <c r="G152" s="31">
        <f t="shared" si="17"/>
        <v>6369187.169999999</v>
      </c>
      <c r="H152" s="31">
        <v>1598418.7</v>
      </c>
      <c r="I152" s="31">
        <v>14798078.91</v>
      </c>
      <c r="J152" s="31">
        <v>1723216.1500000004</v>
      </c>
      <c r="K152" s="31">
        <f t="shared" si="19"/>
        <v>24488900.93</v>
      </c>
      <c r="L152" s="31">
        <v>13075209</v>
      </c>
      <c r="M152" s="31">
        <v>0</v>
      </c>
      <c r="N152" s="31">
        <v>89060306.760000005</v>
      </c>
      <c r="O152" s="31">
        <v>8245316.9299999997</v>
      </c>
      <c r="P152" s="31">
        <v>268356.06</v>
      </c>
      <c r="Q152" s="31">
        <v>1046202.67</v>
      </c>
      <c r="R152" s="31">
        <v>598713.91</v>
      </c>
      <c r="S152" s="31">
        <v>730918.9</v>
      </c>
      <c r="T152" s="31">
        <v>0</v>
      </c>
      <c r="U152" s="31">
        <v>0</v>
      </c>
      <c r="V152" s="31">
        <v>0</v>
      </c>
      <c r="W152" s="31">
        <f t="shared" si="25"/>
        <v>99949815.230000004</v>
      </c>
      <c r="X152" s="31">
        <v>0</v>
      </c>
      <c r="Y152" s="31">
        <v>137419.21</v>
      </c>
      <c r="Z152" s="31">
        <v>379129.42</v>
      </c>
      <c r="AA152" s="31">
        <v>0</v>
      </c>
      <c r="AB152" s="31">
        <f t="shared" si="20"/>
        <v>516548.63</v>
      </c>
      <c r="AC152" s="31">
        <v>17872441</v>
      </c>
      <c r="AD152" s="31">
        <v>35819299</v>
      </c>
      <c r="AE152" s="31">
        <v>0</v>
      </c>
      <c r="AF152" s="31">
        <f t="shared" si="21"/>
        <v>53691740</v>
      </c>
      <c r="AG152" s="31">
        <v>0</v>
      </c>
      <c r="AH152" s="31">
        <v>0</v>
      </c>
      <c r="AI152" s="32"/>
      <c r="AJ152" s="31">
        <f t="shared" si="24"/>
        <v>37564109.93</v>
      </c>
      <c r="AK152" s="33">
        <f t="shared" si="22"/>
        <v>100466363.86</v>
      </c>
      <c r="AL152" s="34">
        <v>0</v>
      </c>
      <c r="AM152" s="8"/>
      <c r="AN152" s="31">
        <f t="shared" si="23"/>
        <v>191722213.78999999</v>
      </c>
    </row>
    <row r="153" spans="2:40" s="17" customFormat="1" x14ac:dyDescent="0.3">
      <c r="B153" s="42">
        <v>43983</v>
      </c>
      <c r="C153" s="31">
        <v>1653143.88</v>
      </c>
      <c r="D153" s="31">
        <v>0</v>
      </c>
      <c r="E153" s="31">
        <v>6069318.25</v>
      </c>
      <c r="F153" s="31">
        <v>66751.98</v>
      </c>
      <c r="G153" s="31">
        <f t="shared" si="17"/>
        <v>7789214.1100000003</v>
      </c>
      <c r="H153" s="31">
        <v>1531846.95</v>
      </c>
      <c r="I153" s="31">
        <v>300447.49</v>
      </c>
      <c r="J153" s="31">
        <v>941560.13</v>
      </c>
      <c r="K153" s="31">
        <f t="shared" si="19"/>
        <v>10563068.680000002</v>
      </c>
      <c r="L153" s="32">
        <v>0</v>
      </c>
      <c r="M153" s="31">
        <v>0</v>
      </c>
      <c r="N153" s="31">
        <v>68196909.890000001</v>
      </c>
      <c r="O153" s="31">
        <v>9470449.2100000009</v>
      </c>
      <c r="P153" s="31">
        <v>257262.96</v>
      </c>
      <c r="Q153" s="31">
        <v>864893.27</v>
      </c>
      <c r="R153" s="31">
        <v>61608.12</v>
      </c>
      <c r="S153" s="31">
        <v>704904.77</v>
      </c>
      <c r="T153" s="31">
        <v>0</v>
      </c>
      <c r="U153" s="31">
        <v>0</v>
      </c>
      <c r="V153" s="31">
        <v>0</v>
      </c>
      <c r="W153" s="31">
        <f t="shared" si="25"/>
        <v>79556028.219999984</v>
      </c>
      <c r="X153" s="31">
        <v>0</v>
      </c>
      <c r="Y153" s="31">
        <v>137419.21</v>
      </c>
      <c r="Z153" s="31">
        <v>174140.1</v>
      </c>
      <c r="AA153" s="31">
        <v>0</v>
      </c>
      <c r="AB153" s="31">
        <f t="shared" si="20"/>
        <v>311559.31</v>
      </c>
      <c r="AC153" s="31">
        <v>35744882</v>
      </c>
      <c r="AD153" s="31">
        <v>35819299</v>
      </c>
      <c r="AE153" s="31">
        <v>362572.79999999999</v>
      </c>
      <c r="AF153" s="31">
        <f t="shared" si="21"/>
        <v>71926753.799999997</v>
      </c>
      <c r="AG153" s="31">
        <v>0</v>
      </c>
      <c r="AH153" s="31">
        <v>55157999.549999997</v>
      </c>
      <c r="AI153" s="32"/>
      <c r="AJ153" s="31">
        <f>K153+L153+M153</f>
        <v>10563068.680000002</v>
      </c>
      <c r="AK153" s="33">
        <f t="shared" si="22"/>
        <v>79867587.529999986</v>
      </c>
      <c r="AL153" s="34">
        <v>-692</v>
      </c>
      <c r="AM153" s="8"/>
      <c r="AN153" s="31">
        <f>AJ153+AK153+AF153+AG153+AH153+AL153</f>
        <v>217514717.56</v>
      </c>
    </row>
    <row r="154" spans="2:40" s="17" customFormat="1" x14ac:dyDescent="0.3">
      <c r="B154" s="43">
        <v>44013</v>
      </c>
      <c r="C154" s="31">
        <v>2722718.31</v>
      </c>
      <c r="D154" s="31">
        <v>0</v>
      </c>
      <c r="E154" s="31">
        <v>4715995.84</v>
      </c>
      <c r="F154" s="31">
        <v>164659.49</v>
      </c>
      <c r="G154" s="31">
        <f t="shared" si="17"/>
        <v>7603373.6400000006</v>
      </c>
      <c r="H154" s="31">
        <v>2867250.21</v>
      </c>
      <c r="I154" s="31">
        <v>1956860.57</v>
      </c>
      <c r="J154" s="31">
        <v>2241478.96</v>
      </c>
      <c r="K154" s="31">
        <f t="shared" si="19"/>
        <v>14668963.380000003</v>
      </c>
      <c r="L154" s="31">
        <v>4721994.8600000003</v>
      </c>
      <c r="M154" s="31">
        <v>279912.42</v>
      </c>
      <c r="N154" s="31">
        <v>77692190.030000001</v>
      </c>
      <c r="O154" s="31">
        <v>8371604.1900000004</v>
      </c>
      <c r="P154" s="31">
        <v>646141.55000000005</v>
      </c>
      <c r="Q154" s="31">
        <v>733173.97</v>
      </c>
      <c r="R154" s="31">
        <v>456576.2</v>
      </c>
      <c r="S154" s="31">
        <v>586673.53</v>
      </c>
      <c r="T154" s="31">
        <v>0</v>
      </c>
      <c r="U154" s="31">
        <v>0</v>
      </c>
      <c r="V154" s="31">
        <v>40163467.660000004</v>
      </c>
      <c r="W154" s="31">
        <f>SUM(N154:V154)</f>
        <v>128649827.13</v>
      </c>
      <c r="X154" s="31">
        <v>0</v>
      </c>
      <c r="Y154" s="31">
        <v>137419.21</v>
      </c>
      <c r="Z154" s="31">
        <v>249045.16</v>
      </c>
      <c r="AA154" s="31">
        <v>0</v>
      </c>
      <c r="AB154" s="31">
        <f t="shared" si="20"/>
        <v>386464.37</v>
      </c>
      <c r="AC154" s="31">
        <v>17872441</v>
      </c>
      <c r="AD154" s="31">
        <v>35819299</v>
      </c>
      <c r="AE154" s="31">
        <v>0</v>
      </c>
      <c r="AF154" s="31">
        <f t="shared" si="21"/>
        <v>53691740</v>
      </c>
      <c r="AG154" s="31">
        <v>0</v>
      </c>
      <c r="AH154" s="31">
        <v>0</v>
      </c>
      <c r="AI154" s="32"/>
      <c r="AJ154" s="31">
        <f t="shared" ref="AJ154:AJ162" si="26">K154+L154+M154</f>
        <v>19670870.660000004</v>
      </c>
      <c r="AK154" s="33">
        <f t="shared" si="22"/>
        <v>129036291.5</v>
      </c>
      <c r="AL154" s="34">
        <v>0</v>
      </c>
      <c r="AM154" s="8"/>
      <c r="AN154" s="31">
        <f t="shared" si="23"/>
        <v>202398902.16</v>
      </c>
    </row>
    <row r="155" spans="2:40" s="17" customFormat="1" x14ac:dyDescent="0.3">
      <c r="B155" s="44">
        <v>44044</v>
      </c>
      <c r="C155" s="31">
        <v>4211511.47</v>
      </c>
      <c r="D155" s="31">
        <v>0</v>
      </c>
      <c r="E155" s="31">
        <v>5086957.3</v>
      </c>
      <c r="F155" s="31">
        <v>79058.7</v>
      </c>
      <c r="G155" s="31">
        <f t="shared" si="17"/>
        <v>9377527.4699999988</v>
      </c>
      <c r="H155" s="31">
        <v>2405372.46</v>
      </c>
      <c r="I155" s="31">
        <v>3589898.68</v>
      </c>
      <c r="J155" s="31">
        <v>2159931.7100000004</v>
      </c>
      <c r="K155" s="31">
        <f t="shared" si="19"/>
        <v>17532730.32</v>
      </c>
      <c r="L155" s="31">
        <v>7829208.0199999996</v>
      </c>
      <c r="M155" s="31">
        <v>491760.02</v>
      </c>
      <c r="N155" s="31">
        <v>77594836.319999993</v>
      </c>
      <c r="O155" s="31">
        <v>8356986.4300000006</v>
      </c>
      <c r="P155" s="31">
        <v>257262.96</v>
      </c>
      <c r="Q155" s="31">
        <v>797903.4</v>
      </c>
      <c r="R155" s="31">
        <v>654417.26</v>
      </c>
      <c r="S155" s="31">
        <v>630604.59</v>
      </c>
      <c r="T155" s="31">
        <v>0</v>
      </c>
      <c r="U155" s="31">
        <v>0</v>
      </c>
      <c r="V155" s="31">
        <v>22151734.530000001</v>
      </c>
      <c r="W155" s="31">
        <f t="shared" ref="W155:W159" si="27">SUM(N155:V155)</f>
        <v>110443745.49000001</v>
      </c>
      <c r="X155" s="31">
        <v>0</v>
      </c>
      <c r="Y155" s="31">
        <v>137419.21</v>
      </c>
      <c r="Z155" s="31">
        <v>266253.48</v>
      </c>
      <c r="AA155" s="31">
        <v>0</v>
      </c>
      <c r="AB155" s="31">
        <f t="shared" si="20"/>
        <v>403672.68999999994</v>
      </c>
      <c r="AC155" s="31">
        <v>17872441</v>
      </c>
      <c r="AD155" s="31">
        <v>35819299</v>
      </c>
      <c r="AE155" s="31">
        <v>0</v>
      </c>
      <c r="AF155" s="31">
        <f t="shared" si="21"/>
        <v>53691740</v>
      </c>
      <c r="AG155" s="31">
        <v>0</v>
      </c>
      <c r="AH155" s="31">
        <v>0</v>
      </c>
      <c r="AI155" s="32"/>
      <c r="AJ155" s="31">
        <f t="shared" si="26"/>
        <v>25853698.359999999</v>
      </c>
      <c r="AK155" s="33">
        <f t="shared" si="22"/>
        <v>110847418.18000001</v>
      </c>
      <c r="AL155" s="34">
        <v>-8229.49</v>
      </c>
      <c r="AM155" s="8"/>
      <c r="AN155" s="31">
        <f t="shared" si="23"/>
        <v>190384627.05000001</v>
      </c>
    </row>
    <row r="156" spans="2:40" s="17" customFormat="1" x14ac:dyDescent="0.3">
      <c r="B156" s="45">
        <v>44075</v>
      </c>
      <c r="C156" s="31">
        <v>4508805.4400000004</v>
      </c>
      <c r="D156" s="31">
        <v>0</v>
      </c>
      <c r="E156" s="31">
        <v>4371877.53</v>
      </c>
      <c r="F156" s="31">
        <v>196416.2</v>
      </c>
      <c r="G156" s="31">
        <f t="shared" si="17"/>
        <v>9077099.1699999999</v>
      </c>
      <c r="H156" s="31">
        <v>3582768.17</v>
      </c>
      <c r="I156" s="31">
        <v>1635027.56</v>
      </c>
      <c r="J156" s="31">
        <v>2766755.2299999995</v>
      </c>
      <c r="K156" s="31">
        <f t="shared" si="19"/>
        <v>17061650.129999999</v>
      </c>
      <c r="L156" s="31">
        <v>12446491.880000001</v>
      </c>
      <c r="M156" s="31">
        <v>31369.88</v>
      </c>
      <c r="N156" s="31">
        <v>76549220.219999999</v>
      </c>
      <c r="O156" s="31">
        <v>8188914.75</v>
      </c>
      <c r="P156" s="31">
        <v>257262.96</v>
      </c>
      <c r="Q156" s="31">
        <v>922328.35</v>
      </c>
      <c r="R156" s="31">
        <v>693108.52</v>
      </c>
      <c r="S156" s="31">
        <v>645014.91</v>
      </c>
      <c r="T156" s="31">
        <v>0</v>
      </c>
      <c r="U156" s="31">
        <v>0</v>
      </c>
      <c r="V156" s="31">
        <v>23791059.010000002</v>
      </c>
      <c r="W156" s="31">
        <f t="shared" si="27"/>
        <v>111046908.71999998</v>
      </c>
      <c r="X156" s="31">
        <v>0</v>
      </c>
      <c r="Y156" s="31">
        <v>137419.21</v>
      </c>
      <c r="Z156" s="31">
        <v>350805.9</v>
      </c>
      <c r="AA156" s="31">
        <v>0</v>
      </c>
      <c r="AB156" s="31">
        <f t="shared" si="20"/>
        <v>488225.11</v>
      </c>
      <c r="AC156" s="31">
        <v>17872441</v>
      </c>
      <c r="AD156" s="31">
        <v>35819299</v>
      </c>
      <c r="AE156" s="31">
        <v>241715.20000000001</v>
      </c>
      <c r="AF156" s="31">
        <f t="shared" si="21"/>
        <v>53933455.200000003</v>
      </c>
      <c r="AG156" s="31">
        <v>0</v>
      </c>
      <c r="AH156" s="31">
        <v>0</v>
      </c>
      <c r="AI156" s="32"/>
      <c r="AJ156" s="31">
        <f t="shared" si="26"/>
        <v>29539511.889999997</v>
      </c>
      <c r="AK156" s="33">
        <f t="shared" si="22"/>
        <v>111535133.82999998</v>
      </c>
      <c r="AL156" s="34">
        <v>2376192.41</v>
      </c>
      <c r="AM156" s="8"/>
      <c r="AN156" s="31">
        <f t="shared" si="23"/>
        <v>197384293.32999995</v>
      </c>
    </row>
    <row r="157" spans="2:40" x14ac:dyDescent="0.3">
      <c r="B157" s="30">
        <v>44105</v>
      </c>
      <c r="C157" s="31">
        <v>4201296</v>
      </c>
      <c r="D157" s="31">
        <v>0</v>
      </c>
      <c r="E157" s="31">
        <v>5782235.3899999997</v>
      </c>
      <c r="F157" s="31">
        <v>730612.26</v>
      </c>
      <c r="G157" s="31">
        <f t="shared" si="17"/>
        <v>10714143.65</v>
      </c>
      <c r="H157" s="31">
        <v>4110435.81</v>
      </c>
      <c r="I157" s="31">
        <v>11639376</v>
      </c>
      <c r="J157" s="31">
        <v>3206841.09</v>
      </c>
      <c r="K157" s="31">
        <f t="shared" si="19"/>
        <v>29670796.550000001</v>
      </c>
      <c r="L157" s="31">
        <v>7405110</v>
      </c>
      <c r="M157" s="31">
        <v>0</v>
      </c>
      <c r="N157" s="31">
        <v>74972390.760000005</v>
      </c>
      <c r="O157" s="31">
        <v>8248308.4000000004</v>
      </c>
      <c r="P157" s="31">
        <v>505383.73</v>
      </c>
      <c r="Q157" s="31">
        <v>847441.88</v>
      </c>
      <c r="R157" s="31">
        <v>1127929.6499999999</v>
      </c>
      <c r="S157" s="31">
        <v>650366.44999999995</v>
      </c>
      <c r="T157" s="31">
        <v>0</v>
      </c>
      <c r="U157" s="31">
        <v>0</v>
      </c>
      <c r="V157" s="31">
        <v>15813050.34</v>
      </c>
      <c r="W157" s="31">
        <f t="shared" si="27"/>
        <v>102164871.21000002</v>
      </c>
      <c r="X157" s="31">
        <v>0</v>
      </c>
      <c r="Y157" s="31">
        <v>137419.21</v>
      </c>
      <c r="Z157" s="31">
        <v>382846.44000000006</v>
      </c>
      <c r="AA157" s="31">
        <v>0</v>
      </c>
      <c r="AB157" s="31">
        <f t="shared" si="20"/>
        <v>520265.65</v>
      </c>
      <c r="AC157" s="31">
        <v>17872440</v>
      </c>
      <c r="AD157" s="31">
        <v>35819299</v>
      </c>
      <c r="AE157" s="31">
        <v>0</v>
      </c>
      <c r="AF157" s="31">
        <f t="shared" si="21"/>
        <v>53691739</v>
      </c>
      <c r="AG157" s="31">
        <v>0</v>
      </c>
      <c r="AH157" s="31">
        <v>0</v>
      </c>
      <c r="AI157" s="32"/>
      <c r="AJ157" s="31">
        <f t="shared" si="26"/>
        <v>37075906.549999997</v>
      </c>
      <c r="AK157" s="33">
        <f t="shared" si="22"/>
        <v>102685136.86000003</v>
      </c>
      <c r="AL157" s="34">
        <v>-120737.64</v>
      </c>
      <c r="AM157" s="8"/>
      <c r="AN157" s="31">
        <f t="shared" si="23"/>
        <v>193332044.77000004</v>
      </c>
    </row>
    <row r="158" spans="2:40" x14ac:dyDescent="0.3">
      <c r="B158" s="35">
        <v>44136</v>
      </c>
      <c r="C158" s="31">
        <v>4556363.29</v>
      </c>
      <c r="D158" s="31">
        <v>0</v>
      </c>
      <c r="E158" s="31">
        <v>5620863.7699999996</v>
      </c>
      <c r="F158" s="31">
        <v>388955.4</v>
      </c>
      <c r="G158" s="31">
        <f t="shared" si="17"/>
        <v>10566182.459999999</v>
      </c>
      <c r="H158" s="31">
        <v>3512487.45</v>
      </c>
      <c r="I158" s="31">
        <v>2726685.4299999997</v>
      </c>
      <c r="J158" s="31">
        <v>3027898.1700000009</v>
      </c>
      <c r="K158" s="31">
        <f t="shared" si="19"/>
        <v>19833253.510000002</v>
      </c>
      <c r="L158" s="31">
        <v>9423751</v>
      </c>
      <c r="M158" s="31">
        <v>45871.13</v>
      </c>
      <c r="N158" s="31">
        <v>79260611</v>
      </c>
      <c r="O158" s="31">
        <v>8618061.9100000001</v>
      </c>
      <c r="P158" s="31">
        <v>257262.96</v>
      </c>
      <c r="Q158" s="31">
        <v>862685.7</v>
      </c>
      <c r="R158" s="31">
        <v>768582.66</v>
      </c>
      <c r="S158" s="31">
        <v>662359.06999999995</v>
      </c>
      <c r="T158" s="31">
        <v>0</v>
      </c>
      <c r="U158" s="31">
        <v>0</v>
      </c>
      <c r="V158" s="31">
        <v>9016265.2699999996</v>
      </c>
      <c r="W158" s="31">
        <f>SUM(N158:V158)</f>
        <v>99445828.569999978</v>
      </c>
      <c r="X158" s="31">
        <v>0</v>
      </c>
      <c r="Y158" s="31">
        <v>137419.21</v>
      </c>
      <c r="Z158" s="31">
        <v>379204.68000000005</v>
      </c>
      <c r="AA158" s="31">
        <v>0</v>
      </c>
      <c r="AB158" s="31">
        <f t="shared" si="20"/>
        <v>516623.89</v>
      </c>
      <c r="AC158" s="31">
        <v>0</v>
      </c>
      <c r="AD158" s="31">
        <v>35819299</v>
      </c>
      <c r="AE158" s="31">
        <v>5387264.2000000002</v>
      </c>
      <c r="AF158" s="31">
        <f t="shared" si="21"/>
        <v>41206563.200000003</v>
      </c>
      <c r="AG158" s="31">
        <v>0</v>
      </c>
      <c r="AH158" s="31">
        <v>0</v>
      </c>
      <c r="AI158" s="32"/>
      <c r="AJ158" s="31">
        <f t="shared" si="26"/>
        <v>29302875.640000001</v>
      </c>
      <c r="AK158" s="33">
        <f t="shared" si="22"/>
        <v>99962452.459999979</v>
      </c>
      <c r="AL158" s="34">
        <v>979</v>
      </c>
      <c r="AM158" s="8"/>
      <c r="AN158" s="31">
        <f t="shared" si="23"/>
        <v>170472870.29999998</v>
      </c>
    </row>
    <row r="159" spans="2:40" x14ac:dyDescent="0.3">
      <c r="B159" s="36">
        <v>44166</v>
      </c>
      <c r="C159" s="31">
        <v>7547584.2300000004</v>
      </c>
      <c r="D159" s="31">
        <v>0</v>
      </c>
      <c r="E159" s="31">
        <v>8819202.2699999996</v>
      </c>
      <c r="F159" s="31">
        <f>800+211231+53616.12+40485+135831.14+148148</f>
        <v>590111.26</v>
      </c>
      <c r="G159" s="31">
        <f>SUM(C159:F159)</f>
        <v>16956897.760000002</v>
      </c>
      <c r="H159" s="31">
        <v>4701664.6100000003</v>
      </c>
      <c r="I159" s="31">
        <v>2210457.91</v>
      </c>
      <c r="J159" s="31">
        <f>154+3313077.22</f>
        <v>3313231.22</v>
      </c>
      <c r="K159" s="31">
        <f t="shared" si="19"/>
        <v>27182251.5</v>
      </c>
      <c r="L159" s="31">
        <v>15534635</v>
      </c>
      <c r="M159" s="31">
        <v>65275.56</v>
      </c>
      <c r="N159" s="31">
        <v>81740423.969999999</v>
      </c>
      <c r="O159" s="31">
        <v>8894360.9399999995</v>
      </c>
      <c r="P159" s="31">
        <v>257262.96</v>
      </c>
      <c r="Q159" s="31">
        <v>986789.96</v>
      </c>
      <c r="R159" s="31">
        <v>726707.42999999993</v>
      </c>
      <c r="S159" s="31">
        <v>692324.55</v>
      </c>
      <c r="T159" s="31">
        <v>0</v>
      </c>
      <c r="U159" s="31">
        <v>0</v>
      </c>
      <c r="V159" s="31">
        <v>34518688.630000003</v>
      </c>
      <c r="W159" s="31">
        <f t="shared" si="27"/>
        <v>127816558.44</v>
      </c>
      <c r="X159" s="31">
        <v>0</v>
      </c>
      <c r="Y159" s="31">
        <v>137419.21</v>
      </c>
      <c r="Z159" s="31">
        <v>463077.43000000005</v>
      </c>
      <c r="AA159" s="31">
        <v>0</v>
      </c>
      <c r="AB159" s="31">
        <f t="shared" si="20"/>
        <v>600496.64000000001</v>
      </c>
      <c r="AC159" s="31">
        <v>0</v>
      </c>
      <c r="AD159" s="31">
        <v>35819299</v>
      </c>
      <c r="AE159" s="31">
        <v>0</v>
      </c>
      <c r="AF159" s="31">
        <f t="shared" si="21"/>
        <v>35819299</v>
      </c>
      <c r="AG159" s="31">
        <v>0</v>
      </c>
      <c r="AH159" s="31">
        <v>0</v>
      </c>
      <c r="AI159" s="32"/>
      <c r="AJ159" s="31">
        <f t="shared" si="26"/>
        <v>42782162.060000002</v>
      </c>
      <c r="AK159" s="33">
        <f t="shared" si="22"/>
        <v>128417055.08</v>
      </c>
      <c r="AL159" s="34">
        <v>1833562.61</v>
      </c>
      <c r="AM159" s="8"/>
      <c r="AN159" s="31">
        <f>AJ159+AK159+AF159+AG159+AH159+AL159</f>
        <v>208852078.75</v>
      </c>
    </row>
    <row r="160" spans="2:40" x14ac:dyDescent="0.3">
      <c r="B160" s="37">
        <v>44197</v>
      </c>
      <c r="C160" s="31">
        <v>97240864.829999998</v>
      </c>
      <c r="D160" s="31">
        <v>0</v>
      </c>
      <c r="E160" s="31">
        <v>1080709.01</v>
      </c>
      <c r="F160" s="31">
        <f>998453.79+198313</f>
        <v>1196766.79</v>
      </c>
      <c r="G160" s="31">
        <f t="shared" ref="G160:G162" si="28">SUM(C160:F160)</f>
        <v>99518340.63000001</v>
      </c>
      <c r="H160" s="31">
        <v>7177102.3399999999</v>
      </c>
      <c r="I160" s="31">
        <v>5840637.3600000003</v>
      </c>
      <c r="J160" s="31">
        <v>4019437.65</v>
      </c>
      <c r="K160" s="31">
        <f t="shared" ref="K160:K165" si="29">SUM(G160:J160)</f>
        <v>116555517.98000002</v>
      </c>
      <c r="L160" s="31">
        <v>0</v>
      </c>
      <c r="M160" s="31">
        <v>0</v>
      </c>
      <c r="N160" s="31">
        <v>86564222.569999993</v>
      </c>
      <c r="O160" s="31">
        <v>9663445.6600000001</v>
      </c>
      <c r="P160" s="31">
        <v>565346.26</v>
      </c>
      <c r="Q160" s="31">
        <v>864198.82</v>
      </c>
      <c r="R160" s="31">
        <v>693702.4</v>
      </c>
      <c r="S160" s="31">
        <v>640914.85</v>
      </c>
      <c r="T160" s="31">
        <v>0</v>
      </c>
      <c r="U160" s="31">
        <v>0</v>
      </c>
      <c r="V160" s="31">
        <v>0</v>
      </c>
      <c r="W160" s="31">
        <f t="shared" ref="W160:W162" si="30">SUM(N160:V160)</f>
        <v>98991830.559999987</v>
      </c>
      <c r="X160" s="31">
        <v>0</v>
      </c>
      <c r="Y160" s="31">
        <v>172073.51</v>
      </c>
      <c r="Z160" s="31">
        <v>711296.18</v>
      </c>
      <c r="AA160" s="31">
        <v>0</v>
      </c>
      <c r="AB160" s="31">
        <f t="shared" ref="AB160:AB162" si="31">SUM(X160:AA160)</f>
        <v>883369.69000000006</v>
      </c>
      <c r="AC160" s="31">
        <v>21963918.609999999</v>
      </c>
      <c r="AD160" s="31">
        <v>35405416</v>
      </c>
      <c r="AE160" s="31">
        <v>0</v>
      </c>
      <c r="AF160" s="31">
        <f t="shared" ref="AF160:AF162" si="32">SUM(AC160:AE160)</f>
        <v>57369334.609999999</v>
      </c>
      <c r="AG160" s="31">
        <v>0</v>
      </c>
      <c r="AH160" s="31">
        <v>0</v>
      </c>
      <c r="AI160" s="32"/>
      <c r="AJ160" s="31">
        <f t="shared" si="26"/>
        <v>116555517.98000002</v>
      </c>
      <c r="AK160" s="33">
        <f t="shared" si="22"/>
        <v>99875200.249999985</v>
      </c>
      <c r="AL160" s="34">
        <v>-1510258.68</v>
      </c>
      <c r="AM160" s="8"/>
      <c r="AN160" s="31">
        <f t="shared" ref="AN160:AN162" si="33">AJ160+AK160+AF160+AG160+AH160+AL160</f>
        <v>272289794.16000003</v>
      </c>
    </row>
    <row r="161" spans="2:40" x14ac:dyDescent="0.3">
      <c r="B161" s="38">
        <v>44228</v>
      </c>
      <c r="C161" s="31">
        <v>17293509.5</v>
      </c>
      <c r="D161" s="31">
        <v>0</v>
      </c>
      <c r="E161" s="31">
        <v>4149235.56</v>
      </c>
      <c r="F161" s="31">
        <f>5631.79+789+104758</f>
        <v>111178.79</v>
      </c>
      <c r="G161" s="31">
        <f t="shared" si="28"/>
        <v>21553923.849999998</v>
      </c>
      <c r="H161" s="31">
        <v>5482037.7999999998</v>
      </c>
      <c r="I161" s="31">
        <v>543377.34000000008</v>
      </c>
      <c r="J161" s="31">
        <v>3065217.6999999993</v>
      </c>
      <c r="K161" s="31">
        <f t="shared" si="29"/>
        <v>30644556.689999998</v>
      </c>
      <c r="L161" s="31">
        <v>12097086</v>
      </c>
      <c r="M161" s="31">
        <v>134449.74</v>
      </c>
      <c r="N161" s="31">
        <v>131121515.34999999</v>
      </c>
      <c r="O161" s="31">
        <v>16416231.059999999</v>
      </c>
      <c r="P161" s="31">
        <v>257262.97</v>
      </c>
      <c r="Q161" s="31">
        <v>1034586.89</v>
      </c>
      <c r="R161" s="31">
        <v>1118975.9400000002</v>
      </c>
      <c r="S161" s="31">
        <v>755317.23</v>
      </c>
      <c r="T161" s="31">
        <v>0</v>
      </c>
      <c r="U161" s="31">
        <v>0</v>
      </c>
      <c r="V161" s="31">
        <v>4051813.09</v>
      </c>
      <c r="W161" s="31">
        <f t="shared" si="30"/>
        <v>154755702.52999997</v>
      </c>
      <c r="X161" s="31">
        <v>0</v>
      </c>
      <c r="Y161" s="31">
        <v>172073.51</v>
      </c>
      <c r="Z161" s="31">
        <v>890776.08</v>
      </c>
      <c r="AA161" s="31">
        <v>0</v>
      </c>
      <c r="AB161" s="31">
        <f t="shared" si="31"/>
        <v>1062849.5899999999</v>
      </c>
      <c r="AC161" s="31">
        <v>13071959.390000001</v>
      </c>
      <c r="AD161" s="31">
        <v>35405416</v>
      </c>
      <c r="AE161" s="31">
        <v>0</v>
      </c>
      <c r="AF161" s="31">
        <f t="shared" si="32"/>
        <v>48477375.390000001</v>
      </c>
      <c r="AG161" s="31">
        <v>0</v>
      </c>
      <c r="AH161" s="31">
        <v>0</v>
      </c>
      <c r="AI161" s="32"/>
      <c r="AJ161" s="31">
        <f t="shared" si="26"/>
        <v>42876092.43</v>
      </c>
      <c r="AK161" s="33">
        <f t="shared" si="22"/>
        <v>155818552.11999997</v>
      </c>
      <c r="AL161" s="34">
        <v>-31909.56</v>
      </c>
      <c r="AM161" s="8"/>
      <c r="AN161" s="31">
        <f t="shared" si="33"/>
        <v>247140110.38</v>
      </c>
    </row>
    <row r="162" spans="2:40" x14ac:dyDescent="0.3">
      <c r="B162" s="39">
        <v>44256</v>
      </c>
      <c r="C162" s="31">
        <v>14148786.189999999</v>
      </c>
      <c r="D162" s="31">
        <v>0</v>
      </c>
      <c r="E162" s="31">
        <v>7192470.4000000004</v>
      </c>
      <c r="F162" s="31">
        <f>5631.79+192506+113965+24499</f>
        <v>336601.79000000004</v>
      </c>
      <c r="G162" s="31">
        <f t="shared" si="28"/>
        <v>21677858.379999999</v>
      </c>
      <c r="H162" s="31">
        <v>5055646.41</v>
      </c>
      <c r="I162" s="31">
        <v>2631112.0499999998</v>
      </c>
      <c r="J162" s="31">
        <v>3636783.7699999996</v>
      </c>
      <c r="K162" s="31">
        <f t="shared" si="29"/>
        <v>33001400.609999999</v>
      </c>
      <c r="L162" s="31">
        <v>24713220</v>
      </c>
      <c r="M162" s="31">
        <v>48650.41</v>
      </c>
      <c r="N162" s="31">
        <v>80360693.129999995</v>
      </c>
      <c r="O162" s="31">
        <v>8857208.2799999993</v>
      </c>
      <c r="P162" s="31">
        <v>257262.96</v>
      </c>
      <c r="Q162" s="31">
        <v>918815.61</v>
      </c>
      <c r="R162" s="31">
        <v>709652.02</v>
      </c>
      <c r="S162" s="31">
        <v>698708.57</v>
      </c>
      <c r="T162" s="31">
        <v>0</v>
      </c>
      <c r="U162" s="31">
        <v>0</v>
      </c>
      <c r="V162" s="31">
        <v>0</v>
      </c>
      <c r="W162" s="31">
        <f t="shared" si="30"/>
        <v>91802340.569999978</v>
      </c>
      <c r="X162" s="31">
        <v>0</v>
      </c>
      <c r="Y162" s="31">
        <v>172073.62</v>
      </c>
      <c r="Z162" s="31">
        <v>728414.86</v>
      </c>
      <c r="AA162" s="31">
        <v>0</v>
      </c>
      <c r="AB162" s="31">
        <f t="shared" si="31"/>
        <v>900488.48</v>
      </c>
      <c r="AC162" s="31">
        <v>17517939</v>
      </c>
      <c r="AD162" s="31">
        <v>35405416</v>
      </c>
      <c r="AE162" s="31">
        <v>0</v>
      </c>
      <c r="AF162" s="31">
        <f t="shared" si="32"/>
        <v>52923355</v>
      </c>
      <c r="AG162" s="31">
        <v>0</v>
      </c>
      <c r="AH162" s="31">
        <v>0</v>
      </c>
      <c r="AI162" s="32"/>
      <c r="AJ162" s="31">
        <f t="shared" si="26"/>
        <v>57763271.019999996</v>
      </c>
      <c r="AK162" s="33">
        <f t="shared" si="22"/>
        <v>92702829.049999982</v>
      </c>
      <c r="AL162" s="34">
        <v>-58749.71</v>
      </c>
      <c r="AM162" s="8"/>
      <c r="AN162" s="31">
        <f t="shared" si="33"/>
        <v>203330705.35999998</v>
      </c>
    </row>
    <row r="163" spans="2:40" x14ac:dyDescent="0.3">
      <c r="B163" s="40">
        <v>44287</v>
      </c>
      <c r="C163" s="31">
        <v>4996422.13</v>
      </c>
      <c r="D163" s="31">
        <v>0</v>
      </c>
      <c r="E163" s="31">
        <v>5952669</v>
      </c>
      <c r="F163" s="31">
        <f>27424+248108+540</f>
        <v>276072</v>
      </c>
      <c r="G163" s="31">
        <f>SUM(C163:F163)</f>
        <v>11225163.129999999</v>
      </c>
      <c r="H163" s="31">
        <v>5151089.87</v>
      </c>
      <c r="I163" s="31">
        <v>899113.32000000007</v>
      </c>
      <c r="J163" s="31">
        <v>2727892.2299999995</v>
      </c>
      <c r="K163" s="31">
        <f t="shared" si="29"/>
        <v>20003258.550000001</v>
      </c>
      <c r="L163" s="31">
        <v>7238022.1200000001</v>
      </c>
      <c r="M163" s="31">
        <v>0</v>
      </c>
      <c r="N163" s="31">
        <v>136185079.65000001</v>
      </c>
      <c r="O163" s="31">
        <v>17559113.800000001</v>
      </c>
      <c r="P163" s="31">
        <v>1036459.81</v>
      </c>
      <c r="Q163" s="31">
        <v>844032.23</v>
      </c>
      <c r="R163" s="31">
        <v>653998.29</v>
      </c>
      <c r="S163" s="31">
        <v>623817.98</v>
      </c>
      <c r="T163" s="31">
        <v>0</v>
      </c>
      <c r="U163" s="31">
        <v>0</v>
      </c>
      <c r="V163" s="31">
        <v>0</v>
      </c>
      <c r="W163" s="31">
        <f>SUM(N163:V163)</f>
        <v>156902501.75999999</v>
      </c>
      <c r="X163" s="31">
        <v>0</v>
      </c>
      <c r="Y163" s="31">
        <v>172073.56</v>
      </c>
      <c r="Z163" s="31">
        <v>684073.92999999993</v>
      </c>
      <c r="AA163" s="31">
        <v>0</v>
      </c>
      <c r="AB163" s="31">
        <f>SUM(X163:AA163)</f>
        <v>856147.49</v>
      </c>
      <c r="AC163" s="31">
        <v>17517939</v>
      </c>
      <c r="AD163" s="31">
        <v>35405416</v>
      </c>
      <c r="AE163" s="31">
        <f>5153768.3+5973.81</f>
        <v>5159742.1099999994</v>
      </c>
      <c r="AF163" s="31">
        <f>SUM(AC163:AE163)</f>
        <v>58083097.109999999</v>
      </c>
      <c r="AG163" s="31">
        <v>0</v>
      </c>
      <c r="AH163" s="31">
        <v>0</v>
      </c>
      <c r="AI163" s="32"/>
      <c r="AJ163" s="31">
        <f>K163+L163+M163</f>
        <v>27241280.670000002</v>
      </c>
      <c r="AK163" s="33">
        <f>W163+AB163</f>
        <v>157758649.25</v>
      </c>
      <c r="AL163" s="34">
        <v>-6832169.5899999999</v>
      </c>
      <c r="AM163" s="8"/>
      <c r="AN163" s="31">
        <f>AJ163+AK163+AF163+AG163+AH163+AL163</f>
        <v>236250857.44000003</v>
      </c>
    </row>
    <row r="164" spans="2:40" x14ac:dyDescent="0.3">
      <c r="B164" s="41">
        <v>44317</v>
      </c>
      <c r="C164" s="31">
        <f>38342115.94-33713202</f>
        <v>4628913.9399999976</v>
      </c>
      <c r="D164" s="31">
        <v>33713202</v>
      </c>
      <c r="E164" s="31">
        <v>7341351</v>
      </c>
      <c r="F164" s="31">
        <f>2626+129241+45616</f>
        <v>177483</v>
      </c>
      <c r="G164" s="31">
        <f>SUM(C164:F164)</f>
        <v>45860949.939999998</v>
      </c>
      <c r="H164" s="31">
        <v>4236156.68</v>
      </c>
      <c r="I164" s="31">
        <v>1232082.96</v>
      </c>
      <c r="J164" s="31">
        <v>2654960.29</v>
      </c>
      <c r="K164" s="31">
        <f t="shared" si="29"/>
        <v>53984149.869999997</v>
      </c>
      <c r="L164" s="31">
        <v>6457710</v>
      </c>
      <c r="M164" s="31">
        <v>163466.04</v>
      </c>
      <c r="N164" s="31">
        <v>94187080.680000007</v>
      </c>
      <c r="O164" s="31">
        <v>9764073.5</v>
      </c>
      <c r="P164" s="31">
        <v>463222.91000000003</v>
      </c>
      <c r="Q164" s="31">
        <v>1026345.29</v>
      </c>
      <c r="R164" s="31">
        <v>941962.43</v>
      </c>
      <c r="S164" s="31">
        <v>789664.77</v>
      </c>
      <c r="T164" s="31">
        <v>0</v>
      </c>
      <c r="U164" s="31">
        <v>0</v>
      </c>
      <c r="V164" s="31">
        <v>0</v>
      </c>
      <c r="W164" s="31">
        <f>SUM(N164:V164)</f>
        <v>107172349.58000001</v>
      </c>
      <c r="X164" s="31">
        <v>0</v>
      </c>
      <c r="Y164" s="31">
        <v>172073.56</v>
      </c>
      <c r="Z164" s="31">
        <v>918726.84</v>
      </c>
      <c r="AA164" s="31">
        <v>0</v>
      </c>
      <c r="AB164" s="31">
        <f>SUM(X164:AA164)</f>
        <v>1090800.3999999999</v>
      </c>
      <c r="AC164" s="31">
        <v>17517939</v>
      </c>
      <c r="AD164" s="31">
        <v>35405416</v>
      </c>
      <c r="AE164" s="31">
        <v>0</v>
      </c>
      <c r="AF164" s="31">
        <f>SUM(AC164:AE164)</f>
        <v>52923355</v>
      </c>
      <c r="AG164" s="31">
        <v>0</v>
      </c>
      <c r="AH164" s="31">
        <v>0</v>
      </c>
      <c r="AI164" s="32"/>
      <c r="AJ164" s="31">
        <f>K164+L164+M164</f>
        <v>60605325.909999996</v>
      </c>
      <c r="AK164" s="33">
        <f>W164+AB164</f>
        <v>108263149.98000002</v>
      </c>
      <c r="AL164" s="34">
        <v>-68496</v>
      </c>
      <c r="AM164" s="8"/>
      <c r="AN164" s="31">
        <f>AJ164+AK164+AF164+AG164+AH164+AL164</f>
        <v>221723334.89000002</v>
      </c>
    </row>
    <row r="165" spans="2:40" x14ac:dyDescent="0.3">
      <c r="B165" s="42">
        <v>44348</v>
      </c>
      <c r="C165" s="31">
        <v>4856773.16</v>
      </c>
      <c r="D165" s="31">
        <v>0</v>
      </c>
      <c r="E165" s="31">
        <v>7475175</v>
      </c>
      <c r="F165" s="31">
        <f>7428+153039+49582</f>
        <v>210049</v>
      </c>
      <c r="G165" s="31">
        <f>SUM(C165:F165)</f>
        <v>12541997.16</v>
      </c>
      <c r="H165" s="31">
        <v>14211665.279999999</v>
      </c>
      <c r="I165" s="31">
        <v>1747577.17</v>
      </c>
      <c r="J165" s="31">
        <v>3003965.1400000006</v>
      </c>
      <c r="K165" s="31">
        <f t="shared" si="29"/>
        <v>31505204.75</v>
      </c>
      <c r="L165" s="31">
        <v>8893080</v>
      </c>
      <c r="M165" s="31">
        <v>54173.91</v>
      </c>
      <c r="N165" s="31">
        <v>103224365.28</v>
      </c>
      <c r="O165" s="31">
        <v>10685803.859999999</v>
      </c>
      <c r="P165" s="31">
        <v>257262.96</v>
      </c>
      <c r="Q165" s="31">
        <v>921439.77</v>
      </c>
      <c r="R165" s="31">
        <v>1157340.6199999999</v>
      </c>
      <c r="S165" s="31">
        <v>666741.18000000005</v>
      </c>
      <c r="T165" s="31">
        <v>0</v>
      </c>
      <c r="U165" s="31">
        <v>0</v>
      </c>
      <c r="V165" s="31">
        <v>0</v>
      </c>
      <c r="W165" s="31">
        <f>SUM(N165:V165)</f>
        <v>116912953.67</v>
      </c>
      <c r="X165" s="31">
        <v>0</v>
      </c>
      <c r="Y165" s="31">
        <v>172073.56</v>
      </c>
      <c r="Z165" s="31">
        <v>788037.17</v>
      </c>
      <c r="AA165" s="31">
        <v>0</v>
      </c>
      <c r="AB165" s="31">
        <f>SUM(X165:AA165)</f>
        <v>960110.73</v>
      </c>
      <c r="AC165" s="31">
        <v>17517939</v>
      </c>
      <c r="AD165" s="31">
        <v>35405416</v>
      </c>
      <c r="AE165" s="31">
        <v>0</v>
      </c>
      <c r="AF165" s="31">
        <f>SUM(AC165:AE165)</f>
        <v>52923355</v>
      </c>
      <c r="AG165" s="31">
        <v>0</v>
      </c>
      <c r="AH165" s="31">
        <v>0</v>
      </c>
      <c r="AI165" s="32"/>
      <c r="AJ165" s="31">
        <f>K165+L165+M165</f>
        <v>40452458.659999996</v>
      </c>
      <c r="AK165" s="33">
        <f>W165+AB165</f>
        <v>117873064.40000001</v>
      </c>
      <c r="AL165" s="34">
        <v>-348</v>
      </c>
      <c r="AM165" s="8"/>
      <c r="AN165" s="31">
        <f>AJ165+AK165+AF165+AG165+AH165+AL165</f>
        <v>211248530.06</v>
      </c>
    </row>
    <row r="166" spans="2:40" x14ac:dyDescent="0.3">
      <c r="B166" s="43">
        <v>44378</v>
      </c>
      <c r="C166" s="31">
        <v>4443931.47</v>
      </c>
      <c r="D166" s="31">
        <v>0</v>
      </c>
      <c r="E166" s="31">
        <v>7512427</v>
      </c>
      <c r="F166" s="31">
        <v>661634.00000000093</v>
      </c>
      <c r="G166" s="31">
        <f>SUM(C166:F166)</f>
        <v>12617992.469999999</v>
      </c>
      <c r="H166" s="31">
        <v>4122356.55</v>
      </c>
      <c r="I166" s="31">
        <v>13056285.640000001</v>
      </c>
      <c r="J166" s="31">
        <v>3422863.43</v>
      </c>
      <c r="K166" s="31">
        <f>SUM(G166:J166)</f>
        <v>33219498.09</v>
      </c>
      <c r="L166" s="31">
        <v>6228049</v>
      </c>
      <c r="M166" s="31">
        <v>247771.81</v>
      </c>
      <c r="N166" s="31">
        <v>87030157.599999994</v>
      </c>
      <c r="O166" s="31">
        <v>9595842.8399999999</v>
      </c>
      <c r="P166" s="31">
        <v>210974.90999999997</v>
      </c>
      <c r="Q166" s="31">
        <v>948099.1</v>
      </c>
      <c r="R166" s="31">
        <v>978838.27</v>
      </c>
      <c r="S166" s="31">
        <v>714525.63</v>
      </c>
      <c r="T166" s="31">
        <v>0</v>
      </c>
      <c r="U166" s="31">
        <v>0</v>
      </c>
      <c r="V166" s="31">
        <v>0</v>
      </c>
      <c r="W166" s="31">
        <f>SUM(N166:V166)</f>
        <v>99478438.349999979</v>
      </c>
      <c r="X166" s="31">
        <v>0</v>
      </c>
      <c r="Y166" s="31">
        <v>172073.56</v>
      </c>
      <c r="Z166" s="31">
        <v>785446.32000000007</v>
      </c>
      <c r="AA166" s="31">
        <v>0</v>
      </c>
      <c r="AB166" s="31">
        <f>SUM(X166:AA166)</f>
        <v>957519.88000000012</v>
      </c>
      <c r="AC166" s="31">
        <v>17517939</v>
      </c>
      <c r="AD166" s="31">
        <v>35405416</v>
      </c>
      <c r="AE166" s="31">
        <v>0</v>
      </c>
      <c r="AF166" s="31">
        <f>SUM(AC166:AE166)</f>
        <v>52923355</v>
      </c>
      <c r="AG166" s="31">
        <v>0</v>
      </c>
      <c r="AH166" s="31">
        <v>0</v>
      </c>
      <c r="AI166" s="32"/>
      <c r="AJ166" s="31">
        <f>K166+L166+M166</f>
        <v>39695318.900000006</v>
      </c>
      <c r="AK166" s="33">
        <f>W166+AB166</f>
        <v>100435958.22999997</v>
      </c>
      <c r="AL166" s="34">
        <v>7476.99</v>
      </c>
      <c r="AM166" s="8"/>
      <c r="AN166" s="31">
        <f>AJ166+AK166+AF166+AG166+AH166+AL166</f>
        <v>193062109.12</v>
      </c>
    </row>
  </sheetData>
  <mergeCells count="2">
    <mergeCell ref="B1:F1"/>
    <mergeCell ref="B2:F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2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x mes</vt:lpstr>
      <vt:lpstr>'Ingresos x mes'!Área_de_impresión</vt:lpstr>
      <vt:lpstr>'Ingresos x 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Yonmi Marisol Reyes Aguilar</dc:creator>
  <cp:lastModifiedBy>MAGDALENA MOGUEL THOR</cp:lastModifiedBy>
  <cp:lastPrinted>2021-09-01T19:51:05Z</cp:lastPrinted>
  <dcterms:created xsi:type="dcterms:W3CDTF">2021-09-01T14:31:00Z</dcterms:created>
  <dcterms:modified xsi:type="dcterms:W3CDTF">2021-09-01T19:51:08Z</dcterms:modified>
</cp:coreProperties>
</file>